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RTO DE PREÇOS\PREGÃO SRP 052021 - LIMPEZA E CONSERVAÇÃO\PROPOSTAS\RPL\Solicitação de Ajuste\"/>
    </mc:Choice>
  </mc:AlternateContent>
  <bookViews>
    <workbookView xWindow="-120" yWindow="-120" windowWidth="20730" windowHeight="11160" tabRatio="805" firstSheet="2" activeTab="3"/>
  </bookViews>
  <sheets>
    <sheet name="Carregador de material" sheetId="12" state="hidden" r:id="rId1"/>
    <sheet name="ORIENTAÇÕES" sheetId="50" state="hidden" r:id="rId2"/>
    <sheet name="Planilha Agente de Limpeza" sheetId="71" r:id="rId3"/>
    <sheet name="Planilha Metragem" sheetId="64" r:id="rId4"/>
    <sheet name="Planilha Materiais" sheetId="72" r:id="rId5"/>
    <sheet name="Servente de limpeza" sheetId="36" state="hidden" r:id="rId6"/>
    <sheet name="Jauzeiro" sheetId="38" state="hidden" r:id="rId7"/>
  </sheets>
  <externalReferences>
    <externalReference r:id="rId8"/>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Limpeza'!$B$1:$G$113</definedName>
    <definedName name="_xlnm.Print_Area" localSheetId="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 localSheetId="4">#REF!</definedName>
    <definedName name="UN">#REF!</definedName>
  </definedNames>
  <calcPr calcId="162913"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4" i="72" l="1"/>
  <c r="E3" i="72"/>
  <c r="E4" i="72"/>
  <c r="E5" i="72"/>
  <c r="E21" i="72"/>
  <c r="E37" i="72"/>
  <c r="E19" i="72" l="1"/>
  <c r="E17" i="72"/>
  <c r="E6" i="72"/>
  <c r="E7" i="72"/>
  <c r="E9" i="72"/>
  <c r="E8" i="72"/>
  <c r="E10" i="72"/>
  <c r="E11" i="72"/>
  <c r="E12" i="72"/>
  <c r="E16" i="72"/>
  <c r="E25" i="72"/>
  <c r="E18" i="72"/>
  <c r="E15" i="72"/>
  <c r="E38" i="72"/>
  <c r="E36" i="72"/>
  <c r="E35" i="72"/>
  <c r="E34" i="72"/>
  <c r="E33" i="72"/>
  <c r="E32" i="72"/>
  <c r="E31" i="72"/>
  <c r="E30" i="72"/>
  <c r="E29" i="72"/>
  <c r="E28" i="72"/>
  <c r="E27" i="72"/>
  <c r="E26" i="72"/>
  <c r="E24" i="72"/>
  <c r="E23" i="72"/>
  <c r="E22" i="72"/>
  <c r="E20" i="72"/>
  <c r="C101" i="71" l="1"/>
  <c r="E100" i="71"/>
  <c r="E126" i="38" l="1"/>
  <c r="E107" i="38"/>
  <c r="E78" i="38"/>
  <c r="E72" i="38"/>
  <c r="E79" i="38" s="1"/>
  <c r="F53" i="38"/>
  <c r="F57" i="38" s="1"/>
  <c r="F138" i="38" s="1"/>
  <c r="F42" i="38"/>
  <c r="F41" i="38"/>
  <c r="G35" i="38"/>
  <c r="G29" i="38"/>
  <c r="E126" i="36"/>
  <c r="E107" i="36"/>
  <c r="E84" i="36"/>
  <c r="E85" i="36" s="1"/>
  <c r="E79" i="36"/>
  <c r="E78" i="36"/>
  <c r="E80" i="36" s="1"/>
  <c r="E72" i="36"/>
  <c r="E94" i="36" s="1"/>
  <c r="F53" i="36"/>
  <c r="F57" i="36" s="1"/>
  <c r="F138" i="36" s="1"/>
  <c r="F42" i="36"/>
  <c r="G35" i="36"/>
  <c r="G29" i="36"/>
  <c r="F38" i="72"/>
  <c r="F37" i="72"/>
  <c r="F36" i="72"/>
  <c r="F35" i="72"/>
  <c r="F34" i="72"/>
  <c r="F33" i="72"/>
  <c r="F32" i="72"/>
  <c r="F31" i="72"/>
  <c r="F30" i="72"/>
  <c r="F29" i="72"/>
  <c r="F28" i="72"/>
  <c r="F27" i="72"/>
  <c r="F26" i="72"/>
  <c r="F25" i="72"/>
  <c r="F24" i="72"/>
  <c r="F23" i="72"/>
  <c r="F22" i="72"/>
  <c r="F21" i="72"/>
  <c r="F20" i="72"/>
  <c r="F19" i="72"/>
  <c r="F18" i="72"/>
  <c r="F17" i="72"/>
  <c r="F16" i="72"/>
  <c r="F15" i="72"/>
  <c r="F14" i="72"/>
  <c r="F13" i="72"/>
  <c r="F12" i="72"/>
  <c r="F11" i="72"/>
  <c r="F10" i="72"/>
  <c r="F9" i="72"/>
  <c r="F8" i="72"/>
  <c r="F7" i="72"/>
  <c r="F6" i="72"/>
  <c r="F5" i="72"/>
  <c r="F4" i="72"/>
  <c r="F3" i="72"/>
  <c r="E36" i="64"/>
  <c r="E30" i="64"/>
  <c r="E37" i="64" s="1"/>
  <c r="I29" i="64"/>
  <c r="I30" i="64" s="1"/>
  <c r="B24" i="64"/>
  <c r="I23" i="64"/>
  <c r="I24" i="64" s="1"/>
  <c r="H23" i="64"/>
  <c r="E17" i="64"/>
  <c r="E35" i="64" s="1"/>
  <c r="I16" i="64"/>
  <c r="I17" i="64" s="1"/>
  <c r="E11" i="64"/>
  <c r="E34" i="64" s="1"/>
  <c r="I10" i="64"/>
  <c r="I11" i="64" s="1"/>
  <c r="E101" i="71"/>
  <c r="E75" i="71"/>
  <c r="E64" i="71"/>
  <c r="E63" i="71"/>
  <c r="E60" i="71"/>
  <c r="F46" i="71"/>
  <c r="F49" i="71" s="1"/>
  <c r="F54" i="71" s="1"/>
  <c r="E42" i="71"/>
  <c r="E53" i="71" s="1"/>
  <c r="E31" i="71"/>
  <c r="E52" i="71" s="1"/>
  <c r="F25" i="71"/>
  <c r="F26" i="71" s="1"/>
  <c r="E126" i="12"/>
  <c r="E107" i="12"/>
  <c r="E78" i="12"/>
  <c r="E72" i="12"/>
  <c r="F53" i="12"/>
  <c r="F57" i="12" s="1"/>
  <c r="F138" i="12" s="1"/>
  <c r="F42" i="12"/>
  <c r="G35" i="12"/>
  <c r="G29" i="12"/>
  <c r="G36" i="12" s="1"/>
  <c r="K41" i="64" l="1"/>
  <c r="F105" i="12"/>
  <c r="F67" i="12"/>
  <c r="F92" i="12"/>
  <c r="K42" i="64"/>
  <c r="K43" i="64" s="1"/>
  <c r="G36" i="36"/>
  <c r="F94" i="36" s="1"/>
  <c r="E84" i="38"/>
  <c r="E85" i="38" s="1"/>
  <c r="G36" i="38"/>
  <c r="E80" i="38"/>
  <c r="E79" i="12"/>
  <c r="E80" i="12" s="1"/>
  <c r="E84" i="12"/>
  <c r="E85" i="12" s="1"/>
  <c r="E94" i="12"/>
  <c r="E108" i="12"/>
  <c r="F105" i="36"/>
  <c r="F101" i="36"/>
  <c r="F67" i="36"/>
  <c r="F41" i="36"/>
  <c r="F48" i="36" s="1"/>
  <c r="F137" i="36" s="1"/>
  <c r="F103" i="36"/>
  <c r="F90" i="36"/>
  <c r="F83" i="36"/>
  <c r="F66" i="36"/>
  <c r="F106" i="36"/>
  <c r="F93" i="36"/>
  <c r="F77" i="36"/>
  <c r="F78" i="36" s="1"/>
  <c r="F69" i="36"/>
  <c r="F64" i="36"/>
  <c r="F102" i="36"/>
  <c r="F70" i="36"/>
  <c r="F65" i="36"/>
  <c r="F30" i="71"/>
  <c r="F64" i="71"/>
  <c r="F29" i="71"/>
  <c r="F104" i="71"/>
  <c r="F61" i="71"/>
  <c r="F92" i="36"/>
  <c r="E96" i="36"/>
  <c r="F136" i="38"/>
  <c r="F103" i="38"/>
  <c r="F93" i="38"/>
  <c r="F83" i="38"/>
  <c r="F69" i="38"/>
  <c r="F65" i="38"/>
  <c r="F106" i="38"/>
  <c r="F102" i="38"/>
  <c r="F104" i="38"/>
  <c r="F90" i="38"/>
  <c r="F70" i="38"/>
  <c r="F64" i="38"/>
  <c r="F67" i="38"/>
  <c r="F101" i="38"/>
  <c r="F77" i="38"/>
  <c r="F78" i="38" s="1"/>
  <c r="F68" i="38"/>
  <c r="F92" i="38"/>
  <c r="F105" i="38"/>
  <c r="F95" i="38"/>
  <c r="F71" i="38"/>
  <c r="F66" i="38"/>
  <c r="F68" i="36"/>
  <c r="F104" i="36"/>
  <c r="F77" i="12"/>
  <c r="F78" i="12" s="1"/>
  <c r="F106" i="12"/>
  <c r="F41" i="12"/>
  <c r="F48" i="12" s="1"/>
  <c r="F64" i="12"/>
  <c r="F70" i="12"/>
  <c r="F90" i="12"/>
  <c r="F102" i="12"/>
  <c r="E109" i="12"/>
  <c r="E108" i="36"/>
  <c r="E109" i="36" s="1"/>
  <c r="E94" i="38"/>
  <c r="F136" i="12"/>
  <c r="F103" i="12"/>
  <c r="F93" i="12"/>
  <c r="F83" i="12"/>
  <c r="F69" i="12"/>
  <c r="F65" i="12"/>
  <c r="F68" i="12"/>
  <c r="F101" i="12"/>
  <c r="F66" i="12"/>
  <c r="F71" i="12"/>
  <c r="F95" i="12"/>
  <c r="F104" i="12"/>
  <c r="E65" i="71"/>
  <c r="F39" i="72"/>
  <c r="H38" i="64" s="1"/>
  <c r="K38" i="64" s="1"/>
  <c r="F48" i="38"/>
  <c r="F137" i="38" s="1"/>
  <c r="E108" i="38"/>
  <c r="E109" i="38" s="1"/>
  <c r="F86" i="71" l="1"/>
  <c r="F108" i="71" s="1"/>
  <c r="F72" i="38"/>
  <c r="F114" i="38" s="1"/>
  <c r="F136" i="36"/>
  <c r="F95" i="36"/>
  <c r="F71" i="36"/>
  <c r="E96" i="12"/>
  <c r="F94" i="12"/>
  <c r="F91" i="12"/>
  <c r="F107" i="38"/>
  <c r="F91" i="38"/>
  <c r="F84" i="38"/>
  <c r="F85" i="38" s="1"/>
  <c r="F116" i="38" s="1"/>
  <c r="F31" i="71"/>
  <c r="F72" i="36"/>
  <c r="F114" i="36" s="1"/>
  <c r="F84" i="36"/>
  <c r="F85" i="36" s="1"/>
  <c r="F116" i="36" s="1"/>
  <c r="F137" i="12"/>
  <c r="F140" i="12" s="1"/>
  <c r="F79" i="38"/>
  <c r="F80" i="38" s="1"/>
  <c r="F115" i="38" s="1"/>
  <c r="F79" i="36"/>
  <c r="F80" i="36" s="1"/>
  <c r="F115" i="36" s="1"/>
  <c r="F140" i="36"/>
  <c r="E96" i="38"/>
  <c r="F94" i="38"/>
  <c r="F107" i="12"/>
  <c r="F84" i="12"/>
  <c r="F85" i="12" s="1"/>
  <c r="F116" i="12" s="1"/>
  <c r="F72" i="12"/>
  <c r="F114" i="12" s="1"/>
  <c r="F79" i="12"/>
  <c r="F80" i="12" s="1"/>
  <c r="F115" i="12" s="1"/>
  <c r="F140" i="38"/>
  <c r="F91" i="36"/>
  <c r="F96" i="36"/>
  <c r="F117" i="36" s="1"/>
  <c r="F107" i="36"/>
  <c r="F96" i="12" l="1"/>
  <c r="F117" i="12" s="1"/>
  <c r="F96" i="38"/>
  <c r="F117" i="38" s="1"/>
  <c r="F142" i="12"/>
  <c r="F143" i="12" s="1"/>
  <c r="F52" i="71"/>
  <c r="F38" i="71"/>
  <c r="F39" i="71"/>
  <c r="F34" i="71"/>
  <c r="F36" i="71"/>
  <c r="F40" i="71"/>
  <c r="F41" i="71"/>
  <c r="F59" i="71" s="1"/>
  <c r="F35" i="71"/>
  <c r="F37" i="71"/>
  <c r="F108" i="38"/>
  <c r="F109" i="38" s="1"/>
  <c r="F118" i="38" s="1"/>
  <c r="F120" i="38" s="1"/>
  <c r="F108" i="36"/>
  <c r="F109" i="36" s="1"/>
  <c r="F118" i="36" s="1"/>
  <c r="F120" i="36" s="1"/>
  <c r="F142" i="36"/>
  <c r="F143" i="36" s="1"/>
  <c r="F142" i="38"/>
  <c r="F143" i="38" s="1"/>
  <c r="F108" i="12"/>
  <c r="F109" i="12"/>
  <c r="F118" i="12" s="1"/>
  <c r="F120" i="12" s="1"/>
  <c r="F139" i="38" l="1"/>
  <c r="F131" i="38"/>
  <c r="G142" i="38" s="1"/>
  <c r="F125" i="38"/>
  <c r="F127" i="38"/>
  <c r="F126" i="38" s="1"/>
  <c r="F139" i="12"/>
  <c r="F131" i="12"/>
  <c r="G142" i="12" s="1"/>
  <c r="F125" i="12"/>
  <c r="F139" i="36"/>
  <c r="F125" i="36"/>
  <c r="F42" i="71"/>
  <c r="F53" i="71" s="1"/>
  <c r="F55" i="71" s="1"/>
  <c r="F105" i="71" l="1"/>
  <c r="F62" i="71"/>
  <c r="F65" i="71" s="1"/>
  <c r="F106" i="71" s="1"/>
  <c r="F127" i="12"/>
  <c r="F126" i="12" s="1"/>
  <c r="F132" i="12" s="1"/>
  <c r="F141" i="12" s="1"/>
  <c r="F129" i="38"/>
  <c r="F131" i="36"/>
  <c r="G142" i="36" s="1"/>
  <c r="F128" i="12"/>
  <c r="F129" i="12"/>
  <c r="F128" i="38"/>
  <c r="F132" i="38"/>
  <c r="F141" i="38" s="1"/>
  <c r="F69" i="71" l="1"/>
  <c r="F72" i="71"/>
  <c r="F73" i="71"/>
  <c r="F71" i="71"/>
  <c r="F70" i="71"/>
  <c r="F74" i="71"/>
  <c r="F128" i="36"/>
  <c r="F127" i="36"/>
  <c r="F126" i="36" s="1"/>
  <c r="F132" i="36" s="1"/>
  <c r="F141" i="36" s="1"/>
  <c r="F129" i="36"/>
  <c r="F75" i="71" l="1"/>
  <c r="F79" i="71" s="1"/>
  <c r="F80" i="71" s="1"/>
  <c r="F107" i="71" s="1"/>
  <c r="F109" i="71" s="1"/>
  <c r="F91" i="71" s="1"/>
  <c r="F90" i="71" l="1"/>
  <c r="F99" i="71" s="1"/>
  <c r="F94" i="71" l="1"/>
  <c r="F97" i="71"/>
  <c r="F95" i="71"/>
  <c r="F100" i="71" l="1"/>
  <c r="F110" i="71" s="1"/>
  <c r="F111" i="71" s="1"/>
  <c r="J10" i="64" s="1"/>
  <c r="K10" i="64" s="1"/>
  <c r="L10" i="64" s="1"/>
  <c r="L11" i="64" s="1"/>
  <c r="M10" i="64" s="1"/>
  <c r="H34" i="64" s="1"/>
  <c r="K34" i="64" s="1"/>
  <c r="J16" i="64" l="1"/>
  <c r="K16" i="64" s="1"/>
  <c r="L16" i="64" s="1"/>
  <c r="L17" i="64" s="1"/>
  <c r="K35" i="64" s="1"/>
  <c r="J23" i="64"/>
  <c r="J29" i="64" s="1"/>
  <c r="K29" i="64" l="1"/>
  <c r="L29" i="64" s="1"/>
  <c r="L30" i="64" s="1"/>
  <c r="M29" i="64" s="1"/>
  <c r="M16" i="64"/>
  <c r="H35" i="64" s="1"/>
  <c r="K23" i="64"/>
  <c r="H36" i="64" s="1"/>
  <c r="H37" i="64" l="1"/>
  <c r="K37" i="64"/>
  <c r="L23" i="64"/>
  <c r="L24" i="64" s="1"/>
  <c r="K36" i="64" s="1"/>
  <c r="K39" i="64" l="1"/>
  <c r="K40" i="64" s="1"/>
  <c r="M23" i="64"/>
</calcChain>
</file>

<file path=xl/comments1.xml><?xml version="1.0" encoding="utf-8"?>
<comments xmlns="http://schemas.openxmlformats.org/spreadsheetml/2006/main">
  <authors>
    <author>Julio Cesar Silveira Santos</author>
  </authors>
  <commentList>
    <comment ref="E101" authorId="0" shapeId="0">
      <text>
        <r>
          <rPr>
            <b/>
            <sz val="9"/>
            <rFont val="Tahoma"/>
            <family val="2"/>
          </rPr>
          <t>Julio Cesar Silveira Santos:</t>
        </r>
        <r>
          <rPr>
            <sz val="9"/>
            <rFont val="Tahoma"/>
            <family val="2"/>
          </rPr>
          <t xml:space="preserve">
Percentual embasado nas orientações da zênite.
</t>
        </r>
      </text>
    </comment>
  </commentList>
</comments>
</file>

<file path=xl/sharedStrings.xml><?xml version="1.0" encoding="utf-8"?>
<sst xmlns="http://schemas.openxmlformats.org/spreadsheetml/2006/main" count="1055" uniqueCount="366">
  <si>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</si>
  <si>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</si>
  <si>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</si>
  <si>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</si>
  <si>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</si>
  <si>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</si>
  <si>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</si>
  <si>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</si>
  <si>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</si>
  <si>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</si>
  <si>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</si>
  <si>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</si>
  <si>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</si>
  <si>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</si>
  <si>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family val="2"/>
      </rPr>
      <t>N</t>
    </r>
    <r>
      <rPr>
        <strike/>
        <sz val="10"/>
        <color indexed="8"/>
        <rFont val="Arial Narrow"/>
        <family val="2"/>
      </rPr>
      <t>º</t>
    </r>
    <r>
      <rPr>
        <sz val="10"/>
        <color indexed="8"/>
        <rFont val="Arial Narrow"/>
        <family val="2"/>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</si>
  <si>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</si>
  <si>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</si>
  <si>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</si>
  <si>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</si>
  <si>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</si>
  <si>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</si>
  <si>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</si>
  <si>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</si>
  <si>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</si>
  <si>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</si>
  <si>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</si>
  <si>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</si>
  <si>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</si>
  <si>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</si>
  <si>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</si>
  <si>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</si>
  <si>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</si>
  <si>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</si>
  <si>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</si>
  <si>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</si>
  <si>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</si>
  <si>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</si>
  <si>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</si>
  <si>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</si>
  <si>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</si>
  <si>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</si>
  <si>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</si>
  <si>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</si>
  <si>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</si>
  <si>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</si>
  <si>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</si>
  <si>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</si>
  <si>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</si>
  <si>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</si>
  <si>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</si>
  <si>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</si>
  <si>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</si>
  <si>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</si>
  <si>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</si>
  <si>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</si>
  <si>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</si>
  <si>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</si>
  <si>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</si>
  <si>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</si>
  <si>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</si>
  <si>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</si>
  <si>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</si>
  <si>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</si>
  <si>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</si>
  <si>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</si>
  <si>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</si>
  <si>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</si>
  <si>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</si>
  <si>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</si>
  <si>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</si>
  <si>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</si>
  <si>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</si>
  <si>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</si>
  <si>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</si>
  <si>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</si>
  <si>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family val="2"/>
      </rPr>
      <t>Seguro acidente do trabalho</t>
    </r>
    <r>
      <rPr>
        <sz val="9.5"/>
        <color indexed="10"/>
        <rFont val="Arial Narrow"/>
        <family val="2"/>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</si>
  <si>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</si>
  <si>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</si>
  <si>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</si>
  <si>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</si>
  <si>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</si>
  <si>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</si>
  <si>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</si>
  <si>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</si>
  <si>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</si>
  <si>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</si>
  <si>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</si>
  <si>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</si>
  <si>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</si>
  <si>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</si>
  <si>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</si>
  <si>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</si>
  <si>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</si>
  <si>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</si>
  <si>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</si>
  <si>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</si>
  <si>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</si>
  <si>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</si>
  <si>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</si>
  <si>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</si>
  <si>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</si>
  <si>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</si>
  <si>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</si>
  <si>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</si>
  <si>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family val="2"/>
      </rPr>
      <t xml:space="preserve">Outros - </t>
    </r>
    <r>
      <rPr>
        <sz val="10"/>
        <color indexed="10"/>
        <rFont val="Arial Narrow"/>
        <family val="2"/>
      </rPr>
      <t>(especificar)</t>
    </r>
  </si>
  <si>
    <t>Incidência do submódulo 4.1 sobre o Custo de reposição</t>
  </si>
  <si>
    <t>Quadro - resumo – Módulo 4 - Encargos sociais e trabalhistas</t>
  </si>
  <si>
    <t>Módulo 4 - Encargos sociais e trabalhistas</t>
  </si>
  <si>
    <r>
      <rPr>
        <sz val="10"/>
        <color indexed="8"/>
        <rFont val="Arial Narrow"/>
        <family val="2"/>
      </rPr>
      <t xml:space="preserve">Encargos previdenciários e FGTS </t>
    </r>
    <r>
      <rPr>
        <sz val="10"/>
        <color indexed="10"/>
        <rFont val="Arial Narrow"/>
        <family val="2"/>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</si>
  <si>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</si>
  <si>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</si>
  <si>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</si>
  <si>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</si>
  <si>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</si>
  <si>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</si>
  <si>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</si>
  <si>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</si>
  <si>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</si>
  <si>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</si>
  <si>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</si>
  <si>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</si>
  <si>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</si>
  <si>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</si>
  <si>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</si>
  <si>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</si>
  <si>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</si>
  <si>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</si>
  <si>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</si>
  <si>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</si>
  <si>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</si>
  <si>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</si>
  <si>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</si>
  <si>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</si>
  <si>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</si>
  <si>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</si>
  <si>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</si>
  <si>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</si>
  <si>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</si>
  <si>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</si>
  <si>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</si>
  <si>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family val="1"/>
      </rPr>
      <t xml:space="preserve">   Incidência do Submódulo 4.1 sobre férias, um terço constitucional de férias e 13º (décimo terceiro) salário </t>
    </r>
    <r>
      <rPr>
        <b/>
        <sz val="10"/>
        <color indexed="8"/>
        <rFont val="Times New Roman"/>
        <family val="1"/>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</si>
  <si>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</si>
  <si>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</si>
  <si>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</si>
  <si>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</si>
  <si>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family val="2"/>
      </rPr>
      <t xml:space="preserve">Tendo em vista as peculiaridades da contratação ora proposta, faz-se essencial os seguintes esclarecimentos referentes às planilhas estimativas de custos, os quais </t>
    </r>
    <r>
      <rPr>
        <b/>
        <sz val="10"/>
        <color indexed="8"/>
        <rFont val="Arial"/>
        <family val="2"/>
      </rPr>
      <t xml:space="preserve">deverão ser observados pelas empresas licitantes </t>
    </r>
    <r>
      <rPr>
        <sz val="10"/>
        <color indexed="8"/>
        <rFont val="Arial"/>
        <family val="2"/>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</si>
  <si>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</si>
  <si>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</si>
  <si>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</si>
  <si>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family val="2"/>
      </rPr>
      <t xml:space="preserve">Art. 57, § 1º - </t>
    </r>
    <r>
      <rPr>
        <i/>
        <sz val="9"/>
        <color indexed="8"/>
        <rFont val="Arial"/>
        <family val="2"/>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family val="2"/>
      </rPr>
      <t>.</t>
    </r>
    <r>
      <rPr>
        <sz val="9"/>
        <color indexed="30"/>
        <rFont val="Arial"/>
        <family val="2"/>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</si>
  <si>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</si>
  <si>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</si>
  <si>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</si>
  <si>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</si>
  <si>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</si>
  <si>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</si>
  <si>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</si>
  <si>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</si>
  <si>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</si>
  <si>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Itabaiana/SE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</si>
  <si>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</si>
  <si>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</si>
  <si>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</si>
  <si>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</si>
  <si>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</si>
  <si>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</si>
  <si>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</si>
  <si>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</si>
  <si>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</si>
  <si>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</si>
  <si>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</si>
  <si>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</si>
  <si>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</si>
  <si>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</si>
  <si>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rPr>
        <sz val="10"/>
        <color theme="1"/>
        <rFont val="宋体"/>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</si>
  <si>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</si>
  <si>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</si>
  <si>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</si>
  <si>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</si>
  <si>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</si>
  <si>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</si>
  <si>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</si>
  <si>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</si>
  <si>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</si>
  <si>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</si>
  <si>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</si>
  <si>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</si>
  <si>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</si>
  <si>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</si>
  <si>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</si>
  <si>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2.3</t>
  </si>
  <si>
    <t>Vale transporte (CLÁUSULA DÉCIMA da CCT SE000032/2020)</t>
  </si>
  <si>
    <t>-</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</si>
  <si>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</si>
  <si>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</si>
  <si>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</si>
  <si>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</si>
  <si>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</si>
  <si>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</si>
  <si>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</si>
  <si>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</si>
  <si>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</si>
  <si>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</si>
  <si>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</si>
  <si>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</si>
  <si>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</si>
  <si>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</si>
  <si>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</si>
  <si>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</si>
  <si>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</si>
  <si>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</si>
  <si>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</si>
  <si>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</si>
  <si>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</si>
  <si>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r>
      <rPr>
        <sz val="10"/>
        <rFont val="Calibri"/>
        <family val="2"/>
      </rPr>
      <t> </t>
    </r>
    <r>
      <rPr>
        <b/>
        <sz val="10"/>
        <rFont val="Calibri"/>
        <family val="2"/>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</si>
  <si>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</si>
  <si>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</si>
  <si>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</si>
  <si>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</si>
  <si>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</si>
  <si>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</si>
  <si>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</si>
  <si>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</si>
  <si>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</si>
  <si>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</si>
  <si>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</si>
  <si>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</si>
  <si>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</si>
  <si>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</si>
  <si>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</si>
  <si>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</si>
  <si>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</si>
  <si>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</si>
  <si>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</si>
  <si>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</si>
  <si>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</si>
  <si>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</si>
  <si>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</si>
  <si>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</si>
  <si>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</si>
  <si>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</si>
  <si>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</si>
  <si>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</si>
  <si>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</si>
  <si>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</si>
  <si>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</si>
  <si>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</si>
  <si>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</si>
  <si>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</si>
  <si>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</si>
  <si>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</si>
  <si>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r>
      <rPr>
        <b/>
        <sz val="11"/>
        <rFont val="Calibri"/>
        <family val="2"/>
      </rPr>
      <t>Coluna E:</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</si>
  <si>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</si>
  <si>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</si>
  <si>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</si>
  <si>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</si>
  <si>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</si>
  <si>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</si>
  <si>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</si>
  <si>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</si>
  <si>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</si>
  <si>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family val="2"/>
      </rPr>
      <t>Tipo de área e produtividades mínima e máxima (colunas A, C e D)</t>
    </r>
    <r>
      <rPr>
        <sz val="11"/>
        <color rgb="FF000000"/>
        <rFont val="Calibri"/>
        <family val="2"/>
      </rPr>
      <t xml:space="preserve"> foram levantadas de acordo com o anexo VI-B, item 3 da IN 5/2017. </t>
    </r>
    <r>
      <rPr>
        <b/>
        <sz val="11"/>
        <rFont val="Calibri"/>
        <family val="2"/>
      </rPr>
      <t>Área a ser limpa (coluna B)</t>
    </r>
    <r>
      <rPr>
        <sz val="11"/>
        <color rgb="FF000000"/>
        <rFont val="Calibri"/>
        <family val="2"/>
      </rPr>
      <t xml:space="preserve">: é a área de limpeza que a administração pretente contratar. Estas informações não devem ser alteradas pela licitante; </t>
    </r>
    <r>
      <rPr>
        <b/>
        <sz val="11"/>
        <rFont val="Calibri"/>
        <family val="2"/>
      </rPr>
      <t>Produtividade pretendida (coluna E)</t>
    </r>
    <r>
      <rPr>
        <sz val="11"/>
        <color rgb="FF000000"/>
        <rFont val="Calibri"/>
        <family val="2"/>
      </rPr>
      <t xml:space="preserve">: a licitante poderá trabalhar com valores dentro dos limites mínimo e máximo estabelecidos;  </t>
    </r>
    <r>
      <rPr>
        <b/>
        <sz val="11"/>
        <rFont val="Calibri"/>
        <family val="2"/>
      </rPr>
      <t>Frequência no mês (coluna F)</t>
    </r>
    <r>
      <rPr>
        <sz val="11"/>
        <color rgb="FF000000"/>
        <rFont val="Calibri"/>
        <family val="2"/>
      </rPr>
      <t xml:space="preserve">: Frequência sugerida em horas por mês conforme item 6 do anexo VII-D da IN SEGES/MPDG 05/2017; </t>
    </r>
    <r>
      <rPr>
        <b/>
        <sz val="11"/>
        <rFont val="Calibri"/>
        <family val="2"/>
      </rPr>
      <t>Jornada de trabalho no mês (coluna G):</t>
    </r>
    <r>
      <rPr>
        <sz val="11"/>
        <color rgb="FF000000"/>
        <rFont val="Calibri"/>
        <family val="2"/>
      </rPr>
      <t xml:space="preserve"> 188,76 (4,29 semanas no mês x 44 horas semanais ≅ 188,76); </t>
    </r>
    <r>
      <rPr>
        <b/>
        <sz val="11"/>
        <rFont val="Calibri"/>
        <family val="2"/>
      </rPr>
      <t>Ki (coluna H)</t>
    </r>
    <r>
      <rPr>
        <sz val="11"/>
        <color rgb="FF000000"/>
        <rFont val="Calibri"/>
        <family val="2"/>
      </rPr>
      <t xml:space="preserve">: Coeficiente de produtividade, apurado da seguinte forma: (1/produtividade) * frequência de horas no mês * (1/jornada de trabalho no mês); </t>
    </r>
    <r>
      <rPr>
        <b/>
        <sz val="11"/>
        <rFont val="Calibri"/>
        <family val="2"/>
      </rPr>
      <t>Nº de serventes (coluna I)</t>
    </r>
    <r>
      <rPr>
        <sz val="11"/>
        <color rgb="FF000000"/>
        <rFont val="Calibri"/>
        <family val="2"/>
      </rPr>
      <t xml:space="preserve">: quantidade necessária de mão de obra em função da área a ser limpa e da produtividade ofertada (área/produtividade). </t>
    </r>
    <r>
      <rPr>
        <b/>
        <sz val="11"/>
        <rFont val="Calibri"/>
        <family val="2"/>
      </rPr>
      <t>Preço do homem/mês (coluna J)</t>
    </r>
    <r>
      <rPr>
        <sz val="11"/>
        <color rgb="FF000000"/>
        <rFont val="Calibri"/>
        <family val="2"/>
      </rPr>
      <t xml:space="preserve">: preço apurado na planilha de composição de custo da mão de obra (Planilha Agente de Limpeza); </t>
    </r>
    <r>
      <rPr>
        <b/>
        <sz val="11"/>
        <rFont val="Calibri"/>
        <family val="2"/>
      </rPr>
      <t>Valor unitário (coluna K)</t>
    </r>
    <r>
      <rPr>
        <sz val="11"/>
        <color rgb="FF000000"/>
        <rFont val="Calibri"/>
        <family val="2"/>
      </rPr>
      <t xml:space="preserve">: corresponde ao custo por m² de área, calculada da seguinte forma: Ki * preço homem mês; </t>
    </r>
    <r>
      <rPr>
        <b/>
        <sz val="11"/>
        <rFont val="Calibri"/>
        <family val="2"/>
      </rPr>
      <t>Valor total (coluna L)</t>
    </r>
    <r>
      <rPr>
        <sz val="11"/>
        <color rgb="FF000000"/>
        <rFont val="Calibri"/>
        <family val="2"/>
      </rPr>
      <t xml:space="preserve">: área a ser limpa (coluna B) multiplicado pelo custo unitário (coluna K); </t>
    </r>
    <r>
      <rPr>
        <b/>
        <sz val="11"/>
        <rFont val="Calibri"/>
        <family val="2"/>
      </rPr>
      <t>Valor m² por área (coluna M)</t>
    </r>
    <r>
      <rPr>
        <sz val="11"/>
        <color rgb="FF000000"/>
        <rFont val="Calibri"/>
        <family val="2"/>
      </rPr>
      <t>: razão entre o valor total (coluna L) e a área interna total (coluna B).</t>
    </r>
  </si>
  <si>
    <t>Valores Totais Esquadrias (frequência mensal)</t>
  </si>
  <si>
    <r>
      <rPr>
        <b/>
        <sz val="11"/>
        <rFont val="Calibri"/>
        <family val="2"/>
      </rPr>
      <t>Coluna B:</t>
    </r>
    <r>
      <rPr>
        <sz val="11"/>
        <color rgb="FF000000"/>
        <rFont val="Calibri"/>
        <family val="2"/>
      </rPr>
      <t xml:space="preserve"> Somatório das áreas. </t>
    </r>
    <r>
      <rPr>
        <b/>
        <sz val="11"/>
        <rFont val="Calibri"/>
        <family val="2"/>
      </rPr>
      <t>Coluna I</t>
    </r>
    <r>
      <rPr>
        <sz val="11"/>
        <color rgb="FF000000"/>
        <rFont val="Calibri"/>
        <family val="2"/>
      </rPr>
      <t xml:space="preserve">: somatório do número de serventes necessários por área. </t>
    </r>
    <r>
      <rPr>
        <b/>
        <sz val="11"/>
        <rFont val="Calibri"/>
        <family val="2"/>
      </rPr>
      <t>Coluna L</t>
    </r>
    <r>
      <rPr>
        <sz val="11"/>
        <color rgb="FF000000"/>
        <rFont val="Calibri"/>
        <family val="2"/>
      </rPr>
      <t>: somatório dos valores totais por área.</t>
    </r>
  </si>
  <si>
    <t>ÁREAS HOSPITALARES E ASSEMELHADAS</t>
  </si>
  <si>
    <t>Áreas hospitalares e assemelhadas</t>
  </si>
  <si>
    <t>Mesma metodologia de cálculo das áreas internas e externas</t>
  </si>
  <si>
    <t>QUADRO RESUMO DA PROPOSTA</t>
  </si>
  <si>
    <t>TIPO DE ÁREA</t>
  </si>
  <si>
    <t>Área (m²)</t>
  </si>
  <si>
    <t>PREÇO MENSAL UNITÁRIO</t>
  </si>
  <si>
    <t>SUBTOTAL</t>
  </si>
  <si>
    <t>I – Área Interna</t>
  </si>
  <si>
    <r>
      <rPr>
        <b/>
        <sz val="11"/>
        <rFont val="Calibri"/>
        <family val="2"/>
      </rPr>
      <t>Área (m²) (coluna C):</t>
    </r>
    <r>
      <rPr>
        <sz val="11"/>
        <color rgb="FF000000"/>
        <rFont val="Calibri"/>
        <family val="2"/>
      </rPr>
      <t xml:space="preserve"> Valores transferidos do quadro acima para cada tipo de área.
</t>
    </r>
    <r>
      <rPr>
        <b/>
        <sz val="11"/>
        <rFont val="Calibri"/>
        <family val="2"/>
      </rPr>
      <t>Preço mensal unitário (coluna F):</t>
    </r>
    <r>
      <rPr>
        <sz val="11"/>
        <color rgb="FF000000"/>
        <rFont val="Calibri"/>
        <family val="2"/>
      </rPr>
      <t xml:space="preserve"> Valores transferidos do quadro acima para cada tipo de área.
</t>
    </r>
    <r>
      <rPr>
        <b/>
        <sz val="11"/>
        <rFont val="Calibri"/>
        <family val="2"/>
      </rPr>
      <t>Subtotal:</t>
    </r>
    <r>
      <rPr>
        <sz val="11"/>
        <color rgb="FF000000"/>
        <rFont val="Calibri"/>
        <family val="2"/>
      </rPr>
      <t xml:space="preserve"> multiplicação entre a área a ser limpa (coluna D e o preço unitário (coluna I).</t>
    </r>
  </si>
  <si>
    <t>II – Área Externa</t>
  </si>
  <si>
    <t>III – Esquadria Externa</t>
  </si>
  <si>
    <t>IV – Áreas hospitalares e assemelhadas</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</si>
  <si>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</si>
  <si>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</si>
  <si>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</si>
  <si>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</si>
  <si>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</si>
  <si>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</si>
  <si>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</si>
  <si>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</si>
  <si>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</si>
  <si>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</si>
  <si>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RELAÇÃO DE MATERIAIS NECESSÁRIOS PARA EXECUÇÃO DO SERVIÇO</t>
  </si>
  <si>
    <t>ITEM</t>
  </si>
  <si>
    <t>ESPECIFICAÇÃO</t>
  </si>
  <si>
    <t>UNIDADE</t>
  </si>
  <si>
    <t>QUANTIDADE</t>
  </si>
  <si>
    <t>VALOR UNIT. ESTIMADO (R$)</t>
  </si>
  <si>
    <t>VALOR TOTAL ESTIMADO (R$)</t>
  </si>
  <si>
    <t>Água sanitária – composição: hipoclorito de sódio e água; princípio ativo: hipoclorito de sódio; teor de cloro ativo: 2,0% a 2,5% p/p.</t>
  </si>
  <si>
    <t>Litro</t>
  </si>
  <si>
    <t>ÁLCOOL GEL 70 % (70 ºgl), indicado para assepsia e desinfecção da pele, incolor, frasco com1 l., de 1ª qualidade, 92° a 93°.</t>
  </si>
  <si>
    <t xml:space="preserve">Balde, nome balde de plástico de uso doméstico. Capacidade para 20 (vinte) litros com alça em arame galvanizado. </t>
  </si>
  <si>
    <t>Unid.</t>
  </si>
  <si>
    <t xml:space="preserve">Desodorizador, essência lavanda, apresentação aerossol, aplicação aromatizador de ambiente, biodegradável.  Fraco Aerossol não inferior a 360ml. </t>
  </si>
  <si>
    <t>Detergente líquido de 1ª qualidade para limpeza de pisos de banheiros e superfícies brancas, 500 ml</t>
  </si>
  <si>
    <t>Esponja limpeza, material espuma/ fibra sintética, formato retangular, abrasividade alta / mínima, aplicação limpeza geral, dupla face, 110mm, 75mm, 20ml, em embalagem individual.</t>
  </si>
  <si>
    <t xml:space="preserve">Flanela para limpeza, flanela, 40 cm x 60 cm. Cor branca, 1º qualidade. </t>
  </si>
  <si>
    <t>Lã de aço, pacote com 4 unidades.</t>
  </si>
  <si>
    <t>Pacote</t>
  </si>
  <si>
    <t>Limpa vidros, Líquido, COMPOSIÇÃO: Lauril éter sulfato de sódio, coadjuvantes, corante e água, Biodegradável, APLICAÇÃO: Limpeza de vidros em geral, TAMPA: Pulverizador, Frasco com 500ml.</t>
  </si>
  <si>
    <t>Galão 5l</t>
  </si>
  <si>
    <t>Lustra Móveis lavanda 200 ml.</t>
  </si>
  <si>
    <t>Luvas de látex natural de 1° qualidade</t>
  </si>
  <si>
    <t>Par</t>
  </si>
  <si>
    <t>Papel higiênico, celulose virgem, 30 m x 10 cm cada, picotado, folhas duplas, cor branca, extra macio. Fardo com 64 rolos.</t>
  </si>
  <si>
    <t xml:space="preserve">Papel toalha interfolhado branco de 1° qualidade extraluxo, 2 dobra, dimensões: 23cm x 22cm, com tolerância de 2 cm para mais ou para menos nas dimensões, interfolhada,  uso em toaletes., fardo c/ 1.000 folhas.  </t>
  </si>
  <si>
    <t>Fardo</t>
  </si>
  <si>
    <t>Pá de lixo de alumínio.Pá coletora lixo, material coletor alumínio, material cabo madeira plastificada, comprimento cabo de 80 cm, comprimento 20 cm.</t>
  </si>
  <si>
    <t>Rodo plástico para piso, com perfil duplo de borracha porosa, 40 cm, com cabo rosqueável revestido em plástico.</t>
  </si>
  <si>
    <t>Rodo plástico para piso, com perfil duplo de borracha porosa, 60 cm, com cabo rosqueável revestido em plástico.</t>
  </si>
  <si>
    <t xml:space="preserve">Sabonete líquido cremoso perolado de de 1° qualidade (de odor agradável), com ph neutro concentrado . Dermatologicamente testado e aprovado. </t>
  </si>
  <si>
    <t>Sabão em pó, lavar roupas e limpeza geral, alvejante e amaciante, campestre. Caixa ou Refil de 500kg.</t>
  </si>
  <si>
    <t>Saco para lixo de 100 litros cada fardo com 100 unidades,resistente ao peso mínimo de 5kg,  cor preta.</t>
  </si>
  <si>
    <t>Saco para lixo de 60 litros, resistente, cada fardo com 100 unidades, cor preta.</t>
  </si>
  <si>
    <t>Saco para lixo de 40 litros,  resistente, cada fardo com 100 unidades, cor preta.</t>
  </si>
  <si>
    <t>Vassoura, material cerdas pêlo sintético de no mínimo 7 cm, com 40 cm de largura,   cabo em madeira roscado de no mínimo 1,20m, material cepa madeira</t>
  </si>
  <si>
    <t>Vassoura, material cerdas pêlo sintético de no mínimo 7 cm, com 60 cm de largura,   cabo em madeira roscado de no mínimo 1,20m, material cepa madeira</t>
  </si>
  <si>
    <t>Saco de pano para limpeza de piso na cor branca, material 100% algodão, comprimento minimo 70cm, largura 50cm.</t>
  </si>
  <si>
    <t>Vassoura de piaçava, tamanho médio 28 cm, com cabo roqueável resistente de madeira plastificado</t>
  </si>
  <si>
    <t>Vassoura limpa teto com cabo de madeira, material cerdas palha, material cepa madeira, comprimento mínimo da cepa 15cm, características adicionais com cabo madeira de 2 m, largura cepa 15cm</t>
  </si>
  <si>
    <t>Vassoura Nylon.</t>
  </si>
  <si>
    <t>Vassourinha para limpar vaso.</t>
  </si>
  <si>
    <t>Desinfetante perfumado. Desinfetante, fragancia  lavanda; composição à base de quatemário de amônio, características adicionais com aroma, pricipio ativo cloreto alquidimetibenzil amônio + tensoativos, teor ativo em 0,4%,</t>
  </si>
  <si>
    <t>Detergente, composição tesoativos aniônicos, coadjuvante, preservantes,, componente ativo linear alquibenzeno sulfonato de sódio, aplicação remoção de gorduras de louças, talheres e panelas, aroma neutro, características adicionais contém tensoativo biodegradável. Selo registro MS/ANVISA. Frasco com 500 ml.</t>
  </si>
  <si>
    <t>Pastilha sanitária com 12 unidades. DESODORIZADOR SANITÁRIO para vaso sanitário.</t>
  </si>
  <si>
    <t>Caixa</t>
  </si>
  <si>
    <t>Espanador de 1° qualidade.</t>
  </si>
  <si>
    <t>Mascara protetora de poeira.</t>
  </si>
  <si>
    <t>Pano Multiuso picotado Tipo Perfex 30 cm - Rolo 300 metros.</t>
  </si>
  <si>
    <t>Rolo</t>
  </si>
  <si>
    <t>Pano para limpeza de prato.Pano de prato branco em 100% algodão, liso, alvejado</t>
  </si>
  <si>
    <t>Cera acrílica autobrilhante, 5l, cx com 4.</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</si>
  <si>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</si>
  <si>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</si>
  <si>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</si>
  <si>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</si>
  <si>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</si>
  <si>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</si>
  <si>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</si>
  <si>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family val="2"/>
      </rPr>
      <t xml:space="preserve">Seguro acidente do trabalho </t>
    </r>
    <r>
      <rPr>
        <sz val="10"/>
        <color indexed="10"/>
        <rFont val="Arial Narrow"/>
        <family val="2"/>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</si>
  <si>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</si>
  <si>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</si>
  <si>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</si>
  <si>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</si>
  <si>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</si>
  <si>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</si>
  <si>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</si>
  <si>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</si>
  <si>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</si>
  <si>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</si>
  <si>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family val="2"/>
      </rPr>
      <t>Seguro acidente do trabalho</t>
    </r>
    <r>
      <rPr>
        <sz val="9"/>
        <color indexed="10"/>
        <rFont val="Arial Narrow"/>
        <family val="2"/>
      </rPr>
      <t xml:space="preserve"> (1, 2 ou 3%) - art. 22, inciso II, Lei nº 8.212/91)</t>
    </r>
  </si>
  <si>
    <t>13º Salário e Adicional Férias</t>
  </si>
  <si>
    <t>Incidência do submódulo 4.1 sobre 13º e Férias</t>
  </si>
  <si>
    <r>
      <rPr>
        <b/>
        <sz val="10"/>
        <color indexed="8"/>
        <rFont val="Arial Narrow"/>
        <family val="2"/>
      </rPr>
      <t>Afastamento Maternidade</t>
    </r>
    <r>
      <rPr>
        <b/>
        <strike/>
        <sz val="10"/>
        <color indexed="8"/>
        <rFont val="Arial Narrow"/>
        <family val="2"/>
      </rPr>
      <t>/Paternidade</t>
    </r>
  </si>
  <si>
    <r>
      <rPr>
        <sz val="10"/>
        <color indexed="8"/>
        <rFont val="Arial Narrow"/>
        <family val="2"/>
      </rPr>
      <t>Afastamento maternidade</t>
    </r>
    <r>
      <rPr>
        <strike/>
        <sz val="10"/>
        <color indexed="8"/>
        <rFont val="Arial Narrow"/>
        <family val="2"/>
      </rPr>
      <t>/paternidade</t>
    </r>
  </si>
  <si>
    <r>
      <rPr>
        <sz val="10"/>
        <color indexed="8"/>
        <rFont val="Arial Narrow"/>
        <family val="2"/>
      </rPr>
      <t>Incidência do submódulo 4.1 sobre afastamento maternidade</t>
    </r>
    <r>
      <rPr>
        <strike/>
        <sz val="10"/>
        <color indexed="8"/>
        <rFont val="Arial Narrow"/>
        <family val="2"/>
      </rPr>
      <t xml:space="preserve"> / paternidade</t>
    </r>
  </si>
  <si>
    <t>10/03/2021</t>
  </si>
  <si>
    <t>Materiais/Equipamentos (aba "Planilha de Materiais")</t>
  </si>
  <si>
    <t>V - Materias/Equipamentos</t>
  </si>
  <si>
    <t>Excluído por inexequibilidade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</si>
</sst>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0.0000"/>
    <numFmt numFmtId="167" formatCode="0.0000000000000"/>
    <numFmt numFmtId="168" formatCode="[$R$ -416]* #,##0.00\ ;[$R$ -416]* \(#,##0.00\);[$R$ -416]* \-#\ ;\ @\ "/>
    <numFmt numFmtId="169" formatCode="#,##0.0"/>
    <numFmt numFmtId="170" formatCode="_(&quot;R$ &quot;* #,##0.00_);_(&quot;R$ &quot;* \(#,##0.00\);_(&quot;R$ &quot;* &quot;-&quot;??_);_(@_)"/>
    <numFmt numFmtId="171" formatCode="0.00_ "/>
    <numFmt numFmtId="172" formatCode="#,##0.0000"/>
    <numFmt numFmtId="173" formatCode="0.0000%"/>
  </numFmts>
  <fonts count="76">
    <font>
      <sz val="11"/>
      <color theme="1"/>
      <name val="Calibri"/>
      <charset val="134"/>
      <scheme val="minor"/>
    </font>
    <font>
      <sz val="10"/>
      <color indexed="8"/>
      <name val="Arial Narrow"/>
      <family val="2"/>
    </font>
    <font>
      <b/>
      <u/>
      <sz val="10"/>
      <color rgb="FFFF0000"/>
      <name val="Verdana"/>
      <family val="2"/>
    </font>
    <font>
      <b/>
      <sz val="10"/>
      <color indexed="8"/>
      <name val="Arial Narrow"/>
      <family val="2"/>
    </font>
    <font>
      <sz val="10"/>
      <name val="Arial Narrow"/>
      <family val="2"/>
    </font>
    <font>
      <b/>
      <sz val="9"/>
      <color theme="1"/>
      <name val="Arial Narrow"/>
      <family val="2"/>
    </font>
    <font>
      <b/>
      <sz val="10"/>
      <color theme="1"/>
      <name val="Arial Narrow"/>
      <family val="2"/>
    </font>
    <font>
      <b/>
      <sz val="10"/>
      <name val="Arial Narrow"/>
      <family val="2"/>
    </font>
    <font>
      <sz val="10"/>
      <color theme="1"/>
      <name val="Arial Narrow"/>
      <family val="2"/>
    </font>
    <font>
      <sz val="10"/>
      <color indexed="9"/>
      <name val="Arial Narrow"/>
      <family val="2"/>
    </font>
    <font>
      <sz val="10"/>
      <color rgb="FFFF0000"/>
      <name val="Arial Narrow"/>
      <family val="2"/>
    </font>
    <font>
      <sz val="9"/>
      <color rgb="FFFF0000"/>
      <name val="Arial Narrow"/>
      <family val="2"/>
    </font>
    <font>
      <sz val="9"/>
      <color rgb="FF00B050"/>
      <name val="Arial Narrow"/>
      <family val="2"/>
    </font>
    <font>
      <sz val="10"/>
      <color rgb="FF00B050"/>
      <name val="Arial Narrow"/>
      <family val="2"/>
    </font>
    <font>
      <b/>
      <sz val="10"/>
      <color rgb="FFFF0000"/>
      <name val="Arial Narrow"/>
      <family val="2"/>
    </font>
    <font>
      <b/>
      <u/>
      <sz val="8"/>
      <color indexed="8"/>
      <name val="Verdana"/>
      <family val="2"/>
    </font>
    <font>
      <b/>
      <u/>
      <sz val="10"/>
      <color indexed="8"/>
      <name val="Arial Narrow"/>
      <family val="2"/>
    </font>
    <font>
      <b/>
      <sz val="8"/>
      <color indexed="8"/>
      <name val="Verdana"/>
      <family val="2"/>
    </font>
    <font>
      <sz val="10"/>
      <color indexed="8"/>
      <name val="Times New Roman"/>
      <family val="1"/>
    </font>
    <font>
      <sz val="10"/>
      <color theme="1"/>
      <name val="Times New Roman"/>
      <family val="1"/>
    </font>
    <font>
      <b/>
      <sz val="8"/>
      <color indexed="8"/>
      <name val="Times New Roman"/>
      <family val="1"/>
    </font>
    <font>
      <sz val="9.5"/>
      <color rgb="FFFF0000"/>
      <name val="Arial Narrow"/>
      <family val="2"/>
    </font>
    <font>
      <sz val="9.5"/>
      <color rgb="FF00B050"/>
      <name val="Arial Narrow"/>
      <family val="2"/>
    </font>
    <font>
      <sz val="9"/>
      <color indexed="8"/>
      <name val="Arial Narrow"/>
      <family val="2"/>
    </font>
    <font>
      <b/>
      <sz val="10"/>
      <color indexed="8"/>
      <name val="Calibri"/>
      <family val="2"/>
      <scheme val="minor"/>
    </font>
    <font>
      <sz val="10"/>
      <color indexed="8"/>
      <name val="Calibri"/>
      <family val="2"/>
      <scheme val="minor"/>
    </font>
    <font>
      <b/>
      <sz val="11"/>
      <color theme="1"/>
      <name val="Calibri"/>
      <family val="2"/>
      <scheme val="minor"/>
    </font>
    <font>
      <sz val="10"/>
      <color rgb="FF000000"/>
      <name val="Calibri"/>
      <family val="2"/>
    </font>
    <font>
      <b/>
      <sz val="11"/>
      <color theme="1"/>
      <name val="Calibri"/>
      <family val="2"/>
    </font>
    <font>
      <sz val="10"/>
      <name val="Calibri"/>
      <family val="2"/>
    </font>
    <font>
      <sz val="11"/>
      <color theme="1"/>
      <name val="Calibri"/>
      <family val="2"/>
    </font>
    <font>
      <sz val="10"/>
      <color theme="1"/>
      <name val="Calibri"/>
      <family val="2"/>
    </font>
    <font>
      <sz val="11"/>
      <color rgb="FF000000"/>
      <name val="Calibri"/>
      <family val="2"/>
    </font>
    <font>
      <sz val="10"/>
      <name val="Calibri"/>
      <family val="2"/>
      <scheme val="minor"/>
    </font>
    <font>
      <sz val="10"/>
      <color theme="1"/>
      <name val="Calibri"/>
      <family val="2"/>
      <scheme val="minor"/>
    </font>
    <font>
      <b/>
      <u/>
      <sz val="10"/>
      <name val="Calibri"/>
      <family val="2"/>
      <scheme val="minor"/>
    </font>
    <font>
      <b/>
      <sz val="10"/>
      <name val="Calibri"/>
      <family val="2"/>
      <scheme val="minor"/>
    </font>
    <font>
      <b/>
      <sz val="10"/>
      <color theme="1"/>
      <name val="Calibri"/>
      <family val="2"/>
      <scheme val="minor"/>
    </font>
    <font>
      <i/>
      <sz val="10"/>
      <name val="Calibri"/>
      <family val="2"/>
      <scheme val="minor"/>
    </font>
    <font>
      <sz val="10"/>
      <color indexed="8"/>
      <name val="Arial"/>
      <family val="2"/>
    </font>
    <font>
      <b/>
      <sz val="12"/>
      <color rgb="FF000000"/>
      <name val="Arial"/>
      <family val="2"/>
    </font>
    <font>
      <b/>
      <sz val="10"/>
      <color rgb="FF000000"/>
      <name val="Arial"/>
      <family val="2"/>
    </font>
    <font>
      <sz val="10"/>
      <color rgb="FF000000"/>
      <name val="Arial"/>
      <family val="2"/>
    </font>
    <font>
      <sz val="10"/>
      <name val="Arial"/>
      <family val="2"/>
    </font>
    <font>
      <i/>
      <sz val="9"/>
      <color rgb="FF000000"/>
      <name val="Arial"/>
      <family val="2"/>
    </font>
    <font>
      <sz val="9"/>
      <color theme="1"/>
      <name val="Calibri"/>
      <family val="2"/>
      <scheme val="minor"/>
    </font>
    <font>
      <sz val="9"/>
      <color rgb="FF000000"/>
      <name val="Arial"/>
      <family val="2"/>
    </font>
    <font>
      <sz val="10"/>
      <color rgb="FF0070C0"/>
      <name val="Arial"/>
      <family val="2"/>
    </font>
    <font>
      <sz val="11"/>
      <color indexed="8"/>
      <name val="Calibri"/>
      <family val="2"/>
    </font>
    <font>
      <sz val="11"/>
      <color rgb="FF000000"/>
      <name val="Calibri"/>
      <family val="2"/>
    </font>
    <font>
      <b/>
      <sz val="18"/>
      <color indexed="56"/>
      <name val="Cambria"/>
      <family val="1"/>
    </font>
    <font>
      <u/>
      <sz val="11"/>
      <color theme="10"/>
      <name val="Calibri"/>
      <family val="2"/>
    </font>
    <font>
      <u/>
      <sz val="10"/>
      <color indexed="12"/>
      <name val="Arial"/>
      <family val="2"/>
    </font>
    <font>
      <b/>
      <sz val="15"/>
      <color indexed="56"/>
      <name val="Calibri"/>
      <family val="2"/>
    </font>
    <font>
      <sz val="11"/>
      <color indexed="8"/>
      <name val="Calibri"/>
      <family val="2"/>
    </font>
    <font>
      <sz val="11"/>
      <color indexed="8"/>
      <name val="Arial"/>
      <family val="2"/>
    </font>
    <font>
      <strike/>
      <sz val="10"/>
      <color indexed="8"/>
      <name val="Arial Narrow"/>
      <family val="2"/>
    </font>
    <font>
      <sz val="9"/>
      <color indexed="10"/>
      <name val="Arial Narrow"/>
      <family val="2"/>
    </font>
    <font>
      <b/>
      <strike/>
      <sz val="10"/>
      <color indexed="8"/>
      <name val="Arial Narrow"/>
      <family val="2"/>
    </font>
    <font>
      <sz val="10"/>
      <color indexed="10"/>
      <name val="Arial Narrow"/>
      <family val="2"/>
    </font>
    <font>
      <b/>
      <sz val="10"/>
      <color indexed="8"/>
      <name val="Times New Roman"/>
      <family val="1"/>
    </font>
    <font>
      <b/>
      <sz val="11"/>
      <name val="Calibri"/>
      <family val="2"/>
    </font>
    <font>
      <sz val="10"/>
      <color theme="1"/>
      <name val="宋体"/>
      <charset val="134"/>
    </font>
    <font>
      <b/>
      <sz val="10"/>
      <color indexed="8"/>
      <name val="宋体"/>
      <charset val="134"/>
    </font>
    <font>
      <b/>
      <sz val="10"/>
      <name val="Calibri"/>
      <family val="2"/>
    </font>
    <font>
      <b/>
      <sz val="10"/>
      <color indexed="8"/>
      <name val="Arial"/>
      <family val="2"/>
    </font>
    <font>
      <i/>
      <sz val="9"/>
      <color indexed="8"/>
      <name val="Arial"/>
      <family val="2"/>
    </font>
    <font>
      <i/>
      <sz val="9"/>
      <color indexed="30"/>
      <name val="Arial"/>
      <family val="2"/>
    </font>
    <font>
      <sz val="9"/>
      <color indexed="30"/>
      <name val="Arial"/>
      <family val="2"/>
    </font>
    <font>
      <sz val="9.5"/>
      <color indexed="8"/>
      <name val="Arial Narrow"/>
      <family val="2"/>
    </font>
    <font>
      <sz val="9.5"/>
      <color indexed="10"/>
      <name val="Arial Narrow"/>
      <family val="2"/>
    </font>
    <font>
      <sz val="11"/>
      <color theme="1"/>
      <name val="Calibri"/>
      <family val="2"/>
      <scheme val="minor"/>
    </font>
    <font>
      <b/>
      <sz val="9"/>
      <name val="Tahoma"/>
      <family val="2"/>
    </font>
    <font>
      <sz val="9"/>
      <name val="Tahoma"/>
      <family val="2"/>
    </font>
    <font>
      <b/>
      <sz val="10"/>
      <color rgb="FFFF0000"/>
      <name val="Calibri"/>
      <family val="2"/>
      <scheme val="minor"/>
    </font>
    <font>
      <b/>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6"/>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22"/>
        <bgColor indexed="64"/>
      </patternFill>
    </fill>
    <fill>
      <patternFill patternType="solid">
        <fgColor rgb="FFC0C0C0"/>
        <bgColor indexed="64"/>
      </patternFill>
    </fill>
  </fills>
  <borders count="1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8" fillId="0" borderId="0" applyFont="0" applyFill="0" applyBorder="0" applyAlignment="0" applyProtection="0"/>
    <xf numFmtId="9" fontId="71" fillId="0" borderId="0" applyFont="0" applyFill="0" applyBorder="0" applyAlignment="0" applyProtection="0"/>
    <xf numFmtId="0" fontId="49" fillId="0" borderId="0"/>
    <xf numFmtId="44" fontId="48" fillId="0" borderId="0" applyFont="0" applyFill="0" applyBorder="0" applyAlignment="0" applyProtection="0"/>
    <xf numFmtId="0" fontId="43" fillId="0" borderId="0"/>
    <xf numFmtId="170" fontId="48" fillId="0" borderId="0" applyFont="0" applyFill="0" applyBorder="0" applyAlignment="0" applyProtection="0"/>
    <xf numFmtId="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0" fontId="52" fillId="0" borderId="0" applyNumberFormat="0" applyFill="0" applyBorder="0" applyAlignment="0" applyProtection="0">
      <alignment vertical="top"/>
      <protection locked="0"/>
    </xf>
    <xf numFmtId="0" fontId="51" fillId="0" borderId="0" applyNumberFormat="0" applyFill="0" applyBorder="0" applyAlignment="0" applyProtection="0">
      <alignment vertical="top"/>
      <protection locked="0"/>
    </xf>
    <xf numFmtId="44" fontId="71" fillId="0" borderId="0" applyFont="0" applyFill="0" applyBorder="0" applyAlignment="0" applyProtection="0"/>
    <xf numFmtId="0" fontId="52" fillId="0" borderId="0" applyNumberFormat="0" applyFill="0" applyBorder="0" applyAlignment="0" applyProtection="0">
      <alignment vertical="top"/>
      <protection locked="0"/>
    </xf>
    <xf numFmtId="0" fontId="43" fillId="0" borderId="0" applyFont="0" applyFill="0" applyBorder="0" applyAlignment="0" applyProtection="0"/>
    <xf numFmtId="170" fontId="43" fillId="0" borderId="0" applyFont="0" applyFill="0" applyBorder="0" applyAlignment="0" applyProtection="0"/>
    <xf numFmtId="170" fontId="48"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44" fontId="48" fillId="0" borderId="0" applyFont="0" applyFill="0" applyBorder="0" applyAlignment="0" applyProtection="0"/>
    <xf numFmtId="0" fontId="27" fillId="0" borderId="0"/>
    <xf numFmtId="44" fontId="48" fillId="0" borderId="0" applyFont="0" applyFill="0" applyBorder="0" applyAlignment="0" applyProtection="0"/>
    <xf numFmtId="43" fontId="48" fillId="0" borderId="0" applyFont="0" applyFill="0" applyBorder="0" applyAlignment="0" applyProtection="0"/>
    <xf numFmtId="17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0" fontId="43" fillId="0" borderId="0" applyFont="0" applyFill="0" applyBorder="0" applyAlignment="0" applyProtection="0"/>
    <xf numFmtId="44" fontId="48" fillId="0" borderId="0" applyFont="0" applyFill="0" applyBorder="0" applyAlignment="0" applyProtection="0"/>
    <xf numFmtId="44" fontId="48" fillId="0" borderId="0" applyFont="0" applyFill="0" applyBorder="0" applyAlignment="0" applyProtection="0"/>
    <xf numFmtId="44" fontId="48"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170" fontId="43" fillId="0" borderId="0" applyFont="0" applyFill="0" applyBorder="0" applyAlignment="0" applyProtection="0"/>
    <xf numFmtId="44" fontId="49" fillId="0" borderId="0" applyFont="0" applyFill="0" applyBorder="0" applyAlignment="0" applyProtection="0"/>
    <xf numFmtId="165" fontId="54" fillId="0" borderId="0" applyBorder="0" applyProtection="0"/>
    <xf numFmtId="0" fontId="43" fillId="0" borderId="0"/>
    <xf numFmtId="0" fontId="71" fillId="0" borderId="0"/>
    <xf numFmtId="0" fontId="48" fillId="0" borderId="0"/>
    <xf numFmtId="0" fontId="55" fillId="0" borderId="0"/>
    <xf numFmtId="43" fontId="48" fillId="0" borderId="0" applyFont="0" applyFill="0" applyBorder="0" applyAlignment="0" applyProtection="0"/>
    <xf numFmtId="9" fontId="48"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164" fontId="48"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0" fontId="43"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0" fontId="50" fillId="0" borderId="0" applyNumberFormat="0" applyFill="0" applyBorder="0" applyAlignment="0" applyProtection="0"/>
    <xf numFmtId="0" fontId="53" fillId="0" borderId="113" applyNumberFormat="0" applyFill="0" applyAlignment="0" applyProtection="0"/>
    <xf numFmtId="164"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43" fontId="71" fillId="0" borderId="0" applyFont="0" applyFill="0" applyBorder="0" applyAlignment="0" applyProtection="0"/>
  </cellStyleXfs>
  <cellXfs count="526">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70"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pplyProtection="1">
      <alignment horizontal="center" vertical="center" wrapText="1"/>
    </xf>
    <xf numFmtId="0" fontId="24" fillId="6" borderId="38"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xf>
    <xf numFmtId="0" fontId="25" fillId="0" borderId="1" xfId="0" applyFont="1" applyFill="1" applyBorder="1" applyAlignment="1" applyProtection="1">
      <alignment wrapText="1"/>
    </xf>
    <xf numFmtId="1" fontId="25" fillId="0" borderId="1" xfId="6" applyNumberFormat="1" applyFont="1" applyFill="1" applyBorder="1" applyAlignment="1" applyProtection="1">
      <alignment horizontal="center" vertical="center"/>
    </xf>
    <xf numFmtId="171" fontId="0" fillId="3" borderId="1" xfId="0" applyNumberFormat="1" applyFill="1" applyBorder="1" applyAlignment="1" applyProtection="1">
      <alignment horizontal="center" vertical="center"/>
      <protection locked="0"/>
    </xf>
    <xf numFmtId="170" fontId="0" fillId="0" borderId="1" xfId="6" applyFont="1" applyBorder="1" applyProtection="1"/>
    <xf numFmtId="170" fontId="26" fillId="6" borderId="1" xfId="6" applyFont="1" applyFill="1" applyBorder="1" applyProtection="1"/>
    <xf numFmtId="0" fontId="27" fillId="0" borderId="0" xfId="21"/>
    <xf numFmtId="0" fontId="28" fillId="0" borderId="0" xfId="21" applyFont="1" applyAlignment="1">
      <alignment horizontal="center" vertical="center" wrapText="1"/>
    </xf>
    <xf numFmtId="3" fontId="28" fillId="8" borderId="51" xfId="21" applyNumberFormat="1" applyFont="1" applyFill="1" applyBorder="1" applyAlignment="1">
      <alignment horizontal="center" vertical="center" wrapText="1"/>
    </xf>
    <xf numFmtId="4" fontId="30" fillId="0" borderId="52" xfId="21" applyNumberFormat="1" applyFont="1" applyBorder="1" applyAlignment="1" applyProtection="1">
      <alignment horizontal="center" vertical="center" wrapText="1"/>
    </xf>
    <xf numFmtId="3" fontId="30" fillId="0" borderId="53" xfId="21" applyNumberFormat="1" applyFont="1" applyBorder="1" applyAlignment="1" applyProtection="1">
      <alignment horizontal="center" vertical="center" wrapText="1"/>
    </xf>
    <xf numFmtId="3" fontId="30" fillId="0" borderId="54" xfId="21" applyNumberFormat="1" applyFont="1" applyBorder="1" applyAlignment="1" applyProtection="1">
      <alignment horizontal="center" vertical="center" wrapText="1"/>
    </xf>
    <xf numFmtId="3" fontId="30" fillId="3" borderId="52" xfId="21" applyNumberFormat="1" applyFont="1" applyFill="1" applyBorder="1" applyAlignment="1" applyProtection="1">
      <alignment horizontal="center" vertical="center" wrapText="1"/>
      <protection locked="0"/>
    </xf>
    <xf numFmtId="4" fontId="28" fillId="8" borderId="58" xfId="21" applyNumberFormat="1" applyFont="1" applyFill="1" applyBorder="1" applyAlignment="1" applyProtection="1">
      <alignment horizontal="center" vertical="center" wrapText="1"/>
    </xf>
    <xf numFmtId="3" fontId="28" fillId="8" borderId="55" xfId="21" applyNumberFormat="1" applyFont="1" applyFill="1" applyBorder="1" applyAlignment="1" applyProtection="1">
      <alignment horizontal="center" vertical="center" wrapText="1"/>
    </xf>
    <xf numFmtId="168" fontId="28" fillId="8" borderId="55" xfId="21" applyNumberFormat="1" applyFont="1" applyFill="1" applyBorder="1" applyAlignment="1">
      <alignment horizontal="center" vertical="center" wrapText="1"/>
    </xf>
    <xf numFmtId="4" fontId="30" fillId="0" borderId="61" xfId="21" applyNumberFormat="1" applyFont="1" applyBorder="1" applyAlignment="1" applyProtection="1">
      <alignment horizontal="center" vertical="center" wrapText="1"/>
    </xf>
    <xf numFmtId="3" fontId="30" fillId="0" borderId="62" xfId="21" applyNumberFormat="1" applyFont="1" applyBorder="1" applyAlignment="1" applyProtection="1">
      <alignment horizontal="center" vertical="center" wrapText="1"/>
    </xf>
    <xf numFmtId="3" fontId="30" fillId="3" borderId="63" xfId="21" applyNumberFormat="1" applyFont="1" applyFill="1" applyBorder="1" applyAlignment="1" applyProtection="1">
      <alignment horizontal="center" vertical="center" wrapText="1"/>
      <protection locked="0"/>
    </xf>
    <xf numFmtId="4" fontId="28" fillId="8" borderId="51" xfId="21" applyNumberFormat="1" applyFont="1" applyFill="1" applyBorder="1" applyAlignment="1" applyProtection="1">
      <alignment horizontal="center" vertical="center" wrapText="1"/>
    </xf>
    <xf numFmtId="3" fontId="28" fillId="8" borderId="51" xfId="21" applyNumberFormat="1" applyFont="1" applyFill="1" applyBorder="1" applyAlignment="1" applyProtection="1">
      <alignment horizontal="center" vertical="center" wrapText="1"/>
    </xf>
    <xf numFmtId="168" fontId="28" fillId="8" borderId="64" xfId="21" applyNumberFormat="1" applyFont="1" applyFill="1" applyBorder="1" applyAlignment="1" applyProtection="1">
      <alignment horizontal="center" vertical="center" wrapText="1"/>
    </xf>
    <xf numFmtId="4" fontId="28" fillId="0" borderId="0" xfId="21" applyNumberFormat="1" applyFont="1" applyAlignment="1">
      <alignment horizontal="center" vertical="center" wrapText="1"/>
    </xf>
    <xf numFmtId="0" fontId="30" fillId="0" borderId="69" xfId="21" applyFont="1" applyBorder="1" applyAlignment="1">
      <alignment horizontal="center" vertical="center" wrapText="1"/>
    </xf>
    <xf numFmtId="4" fontId="30" fillId="0" borderId="62" xfId="21" applyNumberFormat="1" applyFont="1" applyBorder="1" applyAlignment="1" applyProtection="1">
      <alignment horizontal="center" vertical="center"/>
    </xf>
    <xf numFmtId="0" fontId="30" fillId="0" borderId="62" xfId="21" applyFont="1" applyBorder="1" applyAlignment="1" applyProtection="1">
      <alignment horizontal="center" vertical="center"/>
    </xf>
    <xf numFmtId="3" fontId="30" fillId="3" borderId="70" xfId="21" applyNumberFormat="1" applyFont="1" applyFill="1" applyBorder="1" applyAlignment="1" applyProtection="1">
      <alignment horizontal="center" vertical="center" wrapText="1"/>
      <protection locked="0"/>
    </xf>
    <xf numFmtId="167" fontId="30" fillId="0" borderId="62" xfId="21" applyNumberFormat="1" applyFont="1" applyBorder="1" applyAlignment="1" applyProtection="1">
      <alignment horizontal="center" vertical="center"/>
    </xf>
    <xf numFmtId="0" fontId="28" fillId="8" borderId="51" xfId="21" applyFont="1" applyFill="1" applyBorder="1" applyAlignment="1">
      <alignment horizontal="center" vertical="center" wrapText="1"/>
    </xf>
    <xf numFmtId="0" fontId="28" fillId="8" borderId="51" xfId="21" applyFont="1" applyFill="1" applyBorder="1" applyAlignment="1" applyProtection="1">
      <alignment horizontal="center" vertical="center" wrapText="1"/>
    </xf>
    <xf numFmtId="168" fontId="28" fillId="8" borderId="51" xfId="21" applyNumberFormat="1" applyFont="1" applyFill="1" applyBorder="1" applyAlignment="1" applyProtection="1">
      <alignment horizontal="center" vertical="center" wrapText="1"/>
    </xf>
    <xf numFmtId="172" fontId="28" fillId="8" borderId="51" xfId="21" applyNumberFormat="1" applyFont="1" applyFill="1" applyBorder="1" applyAlignment="1" applyProtection="1">
      <alignment horizontal="center" vertical="center" wrapText="1"/>
    </xf>
    <xf numFmtId="0" fontId="30" fillId="0" borderId="0" xfId="21" applyFont="1" applyAlignment="1">
      <alignment horizontal="center" vertical="center" wrapText="1"/>
    </xf>
    <xf numFmtId="4" fontId="30" fillId="0" borderId="0" xfId="21" applyNumberFormat="1" applyFont="1" applyAlignment="1">
      <alignment horizontal="center" vertical="center"/>
    </xf>
    <xf numFmtId="0" fontId="30" fillId="0" borderId="0" xfId="21" applyFont="1" applyAlignment="1">
      <alignment horizontal="center" vertical="center"/>
    </xf>
    <xf numFmtId="168" fontId="28" fillId="0" borderId="0" xfId="21" applyNumberFormat="1" applyFont="1" applyAlignment="1">
      <alignment horizontal="center" vertical="center"/>
    </xf>
    <xf numFmtId="168" fontId="30" fillId="0" borderId="0" xfId="21" applyNumberFormat="1" applyFont="1" applyAlignment="1">
      <alignment horizontal="center" vertical="center"/>
    </xf>
    <xf numFmtId="0" fontId="28" fillId="0" borderId="0" xfId="21" applyFont="1" applyAlignment="1">
      <alignment horizontal="center" vertical="center"/>
    </xf>
    <xf numFmtId="172" fontId="30" fillId="0" borderId="54" xfId="21" applyNumberFormat="1" applyFont="1" applyBorder="1" applyAlignment="1" applyProtection="1">
      <alignment horizontal="center" vertical="center" wrapText="1"/>
    </xf>
    <xf numFmtId="168" fontId="30" fillId="0" borderId="44" xfId="21" applyNumberFormat="1" applyFont="1" applyBorder="1" applyAlignment="1" applyProtection="1">
      <alignment horizontal="center" vertical="center" wrapText="1"/>
    </xf>
    <xf numFmtId="168" fontId="30" fillId="0" borderId="53" xfId="21" applyNumberFormat="1" applyFont="1" applyBorder="1" applyAlignment="1" applyProtection="1">
      <alignment horizontal="center" vertical="center" wrapText="1"/>
    </xf>
    <xf numFmtId="168" fontId="28" fillId="0" borderId="83" xfId="21" applyNumberFormat="1" applyFont="1" applyBorder="1" applyAlignment="1" applyProtection="1">
      <alignment horizontal="center" vertical="center" wrapText="1"/>
    </xf>
    <xf numFmtId="0" fontId="30" fillId="0" borderId="80" xfId="21" applyFont="1" applyBorder="1" applyAlignment="1">
      <alignment horizontal="center" vertical="center" wrapText="1"/>
    </xf>
    <xf numFmtId="172" fontId="28" fillId="8" borderId="58" xfId="21" applyNumberFormat="1" applyFont="1" applyFill="1" applyBorder="1" applyAlignment="1" applyProtection="1">
      <alignment horizontal="center" vertical="center" wrapText="1"/>
    </xf>
    <xf numFmtId="0" fontId="31" fillId="8" borderId="55" xfId="21" applyFont="1" applyFill="1" applyBorder="1" applyAlignment="1" applyProtection="1">
      <alignment horizontal="center" vertical="center"/>
    </xf>
    <xf numFmtId="168" fontId="30" fillId="8" borderId="58" xfId="21" applyNumberFormat="1" applyFont="1" applyFill="1" applyBorder="1" applyAlignment="1" applyProtection="1">
      <alignment horizontal="center" vertical="center" wrapText="1"/>
    </xf>
    <xf numFmtId="168" fontId="28" fillId="8" borderId="58" xfId="21" applyNumberFormat="1" applyFont="1" applyFill="1" applyBorder="1" applyAlignment="1" applyProtection="1">
      <alignment horizontal="center" vertical="center" wrapText="1"/>
    </xf>
    <xf numFmtId="0" fontId="28" fillId="0" borderId="84" xfId="21" applyFont="1" applyBorder="1" applyAlignment="1">
      <alignment horizontal="center" vertical="center" wrapText="1"/>
    </xf>
    <xf numFmtId="168" fontId="28" fillId="0" borderId="0" xfId="21" applyNumberFormat="1" applyFont="1" applyAlignment="1">
      <alignment horizontal="center" vertical="center" wrapText="1"/>
    </xf>
    <xf numFmtId="168" fontId="30" fillId="0" borderId="0" xfId="21" applyNumberFormat="1" applyFont="1" applyAlignment="1">
      <alignment horizontal="center" vertical="center" wrapText="1"/>
    </xf>
    <xf numFmtId="172" fontId="30" fillId="0" borderId="63" xfId="21" applyNumberFormat="1" applyFont="1" applyBorder="1" applyAlignment="1" applyProtection="1">
      <alignment horizontal="center" vertical="center" wrapText="1"/>
    </xf>
    <xf numFmtId="168" fontId="30" fillId="0" borderId="70" xfId="21" applyNumberFormat="1" applyFont="1" applyBorder="1" applyAlignment="1" applyProtection="1">
      <alignment horizontal="center" vertical="center" wrapText="1"/>
    </xf>
    <xf numFmtId="168" fontId="30" fillId="0" borderId="62" xfId="21" applyNumberFormat="1" applyFont="1" applyBorder="1" applyAlignment="1" applyProtection="1">
      <alignment horizontal="center" vertical="center" wrapText="1"/>
    </xf>
    <xf numFmtId="168" fontId="28" fillId="0" borderId="70" xfId="21" applyNumberFormat="1" applyFont="1" applyBorder="1" applyAlignment="1" applyProtection="1">
      <alignment horizontal="center" vertical="center" wrapText="1"/>
    </xf>
    <xf numFmtId="0" fontId="31" fillId="8" borderId="64" xfId="21" applyFont="1" applyFill="1" applyBorder="1" applyAlignment="1" applyProtection="1">
      <alignment horizontal="center" vertical="center"/>
    </xf>
    <xf numFmtId="168" fontId="30" fillId="8" borderId="51" xfId="21" applyNumberFormat="1" applyFont="1" applyFill="1" applyBorder="1" applyAlignment="1" applyProtection="1">
      <alignment horizontal="center" vertical="center" wrapText="1"/>
    </xf>
    <xf numFmtId="4" fontId="28" fillId="0" borderId="0" xfId="21" applyNumberFormat="1" applyFont="1" applyAlignment="1">
      <alignment horizontal="center" vertical="center"/>
    </xf>
    <xf numFmtId="166" fontId="30" fillId="0" borderId="85" xfId="21" applyNumberFormat="1" applyFont="1" applyBorder="1" applyAlignment="1" applyProtection="1">
      <alignment horizontal="center" vertical="center"/>
    </xf>
    <xf numFmtId="168" fontId="30" fillId="0" borderId="44" xfId="21" applyNumberFormat="1" applyFont="1" applyBorder="1" applyAlignment="1" applyProtection="1">
      <alignment horizontal="center" vertical="center"/>
    </xf>
    <xf numFmtId="168" fontId="30" fillId="0" borderId="62" xfId="21" applyNumberFormat="1" applyFont="1" applyBorder="1" applyAlignment="1" applyProtection="1">
      <alignment horizontal="center" vertical="center"/>
    </xf>
    <xf numFmtId="168" fontId="28" fillId="0" borderId="62" xfId="21" applyNumberFormat="1" applyFont="1" applyBorder="1" applyAlignment="1" applyProtection="1">
      <alignment horizontal="center" vertical="center"/>
    </xf>
    <xf numFmtId="0" fontId="28" fillId="0" borderId="80" xfId="21" applyFont="1" applyBorder="1" applyAlignment="1">
      <alignment horizontal="center" vertical="center" wrapText="1"/>
    </xf>
    <xf numFmtId="0" fontId="31" fillId="8" borderId="51" xfId="21" applyFont="1" applyFill="1" applyBorder="1" applyAlignment="1" applyProtection="1">
      <alignment horizontal="center" vertical="center"/>
    </xf>
    <xf numFmtId="168" fontId="28" fillId="0" borderId="84" xfId="21" applyNumberFormat="1" applyFont="1" applyBorder="1" applyAlignment="1">
      <alignment horizontal="center" vertical="center" wrapText="1"/>
    </xf>
    <xf numFmtId="0" fontId="28" fillId="8" borderId="86" xfId="21" applyFont="1" applyFill="1" applyBorder="1" applyAlignment="1">
      <alignment horizontal="center" vertical="center" wrapText="1"/>
    </xf>
    <xf numFmtId="0" fontId="29" fillId="0" borderId="89" xfId="21" applyFont="1" applyBorder="1"/>
    <xf numFmtId="168" fontId="30" fillId="0" borderId="90" xfId="21" applyNumberFormat="1" applyFont="1" applyBorder="1" applyAlignment="1">
      <alignment horizontal="center" vertical="center" wrapText="1"/>
    </xf>
    <xf numFmtId="0" fontId="32" fillId="0" borderId="0" xfId="21" applyFont="1" applyAlignment="1">
      <alignment vertical="center"/>
    </xf>
    <xf numFmtId="0" fontId="33" fillId="2" borderId="0" xfId="0" applyFont="1" applyFill="1" applyBorder="1"/>
    <xf numFmtId="0" fontId="34" fillId="2" borderId="0" xfId="0" applyFont="1" applyFill="1"/>
    <xf numFmtId="0" fontId="33" fillId="0" borderId="0" xfId="0" applyFont="1"/>
    <xf numFmtId="0" fontId="33" fillId="0" borderId="0" xfId="0" applyFont="1" applyProtection="1"/>
    <xf numFmtId="0" fontId="33" fillId="0" borderId="91" xfId="0" applyFont="1" applyBorder="1" applyProtection="1">
      <protection locked="0"/>
    </xf>
    <xf numFmtId="0" fontId="33" fillId="0" borderId="92" xfId="0" applyFont="1" applyBorder="1" applyProtection="1">
      <protection locked="0"/>
    </xf>
    <xf numFmtId="0" fontId="33" fillId="0" borderId="33" xfId="0" applyFont="1" applyBorder="1" applyProtection="1">
      <protection locked="0"/>
    </xf>
    <xf numFmtId="0" fontId="33" fillId="0" borderId="93" xfId="0" applyFont="1" applyBorder="1" applyProtection="1">
      <protection locked="0"/>
    </xf>
    <xf numFmtId="0" fontId="33" fillId="0" borderId="0" xfId="0" applyFont="1" applyBorder="1" applyProtection="1">
      <protection locked="0"/>
    </xf>
    <xf numFmtId="0" fontId="33" fillId="0" borderId="94" xfId="0" applyFont="1" applyBorder="1" applyProtection="1">
      <protection locked="0"/>
    </xf>
    <xf numFmtId="0" fontId="35" fillId="2" borderId="93" xfId="0" applyFont="1" applyFill="1" applyBorder="1" applyAlignment="1" applyProtection="1">
      <alignment horizontal="center"/>
    </xf>
    <xf numFmtId="0" fontId="35" fillId="2" borderId="0" xfId="0" applyFont="1" applyFill="1" applyBorder="1" applyAlignment="1" applyProtection="1">
      <alignment horizontal="center"/>
    </xf>
    <xf numFmtId="0" fontId="35" fillId="2" borderId="94" xfId="0" applyFont="1" applyFill="1" applyBorder="1" applyAlignment="1" applyProtection="1">
      <alignment horizontal="center"/>
    </xf>
    <xf numFmtId="0" fontId="33" fillId="2" borderId="0" xfId="0" applyFont="1" applyFill="1" applyBorder="1" applyProtection="1"/>
    <xf numFmtId="0" fontId="33" fillId="0" borderId="98" xfId="0" applyFont="1" applyBorder="1" applyAlignment="1" applyProtection="1">
      <alignment horizontal="center" vertical="center"/>
    </xf>
    <xf numFmtId="0" fontId="33" fillId="0" borderId="1" xfId="0" applyFont="1" applyBorder="1" applyAlignment="1" applyProtection="1">
      <alignment horizontal="left" vertical="center"/>
    </xf>
    <xf numFmtId="0" fontId="33" fillId="10" borderId="98" xfId="0" applyFont="1" applyFill="1" applyBorder="1" applyAlignment="1" applyProtection="1">
      <alignment horizontal="center" vertical="center"/>
    </xf>
    <xf numFmtId="0" fontId="33" fillId="0" borderId="98" xfId="0" applyFont="1" applyBorder="1" applyAlignment="1" applyProtection="1">
      <alignment horizontal="center" vertical="center" wrapText="1"/>
    </xf>
    <xf numFmtId="0" fontId="33" fillId="0" borderId="1" xfId="0" applyFont="1" applyBorder="1" applyAlignment="1" applyProtection="1">
      <alignment vertical="center" wrapText="1"/>
    </xf>
    <xf numFmtId="0" fontId="33" fillId="0" borderId="2" xfId="0" applyFont="1" applyBorder="1" applyAlignment="1" applyProtection="1">
      <alignment vertical="center" wrapText="1"/>
    </xf>
    <xf numFmtId="0" fontId="33" fillId="0" borderId="99" xfId="0" applyFont="1" applyBorder="1" applyAlignment="1" applyProtection="1">
      <alignment horizontal="center" vertical="center" wrapText="1"/>
    </xf>
    <xf numFmtId="0" fontId="33" fillId="0" borderId="100" xfId="0" applyFont="1" applyBorder="1" applyAlignment="1" applyProtection="1">
      <alignment vertical="center" wrapText="1"/>
    </xf>
    <xf numFmtId="0" fontId="36" fillId="10" borderId="103" xfId="0" applyFont="1" applyFill="1" applyBorder="1" applyAlignment="1" applyProtection="1">
      <alignment horizontal="center" vertical="center" wrapText="1"/>
    </xf>
    <xf numFmtId="0" fontId="36" fillId="10" borderId="38" xfId="0" applyFont="1" applyFill="1" applyBorder="1" applyAlignment="1" applyProtection="1">
      <alignment vertical="center" wrapText="1"/>
    </xf>
    <xf numFmtId="0" fontId="36" fillId="10" borderId="38" xfId="0" applyFont="1" applyFill="1" applyBorder="1" applyAlignment="1" applyProtection="1">
      <alignment horizontal="center" vertical="center"/>
    </xf>
    <xf numFmtId="0" fontId="36" fillId="10" borderId="104" xfId="0" applyFont="1" applyFill="1" applyBorder="1" applyAlignment="1" applyProtection="1">
      <alignment horizontal="center" vertical="center" wrapText="1"/>
    </xf>
    <xf numFmtId="0" fontId="33" fillId="0" borderId="1" xfId="0" applyFont="1" applyBorder="1" applyAlignment="1" applyProtection="1">
      <alignment horizontal="left" vertical="center" wrapText="1"/>
    </xf>
    <xf numFmtId="10" fontId="33" fillId="0" borderId="1" xfId="0" applyNumberFormat="1" applyFont="1" applyBorder="1" applyAlignment="1" applyProtection="1">
      <alignment horizontal="right" vertical="center" wrapText="1"/>
    </xf>
    <xf numFmtId="43" fontId="33" fillId="2" borderId="105" xfId="77" applyFont="1" applyFill="1" applyBorder="1" applyAlignment="1" applyProtection="1">
      <alignment vertical="center" wrapText="1"/>
    </xf>
    <xf numFmtId="0" fontId="33" fillId="10" borderId="99" xfId="0" applyFont="1" applyFill="1" applyBorder="1" applyAlignment="1" applyProtection="1">
      <alignment horizontal="center" wrapText="1"/>
    </xf>
    <xf numFmtId="0" fontId="36" fillId="10" borderId="1" xfId="0" applyFont="1" applyFill="1" applyBorder="1" applyAlignment="1" applyProtection="1">
      <alignment horizontal="right" vertical="center" wrapText="1"/>
    </xf>
    <xf numFmtId="0" fontId="36" fillId="10" borderId="100" xfId="0" applyNumberFormat="1" applyFont="1" applyFill="1" applyBorder="1" applyAlignment="1" applyProtection="1">
      <alignment horizontal="right" vertical="center" wrapText="1"/>
    </xf>
    <xf numFmtId="44" fontId="36" fillId="10" borderId="106" xfId="12" applyFont="1" applyFill="1" applyBorder="1" applyAlignment="1" applyProtection="1">
      <alignment vertical="center" wrapText="1"/>
    </xf>
    <xf numFmtId="0" fontId="36" fillId="10" borderId="107" xfId="0" applyFont="1" applyFill="1" applyBorder="1" applyAlignment="1" applyProtection="1">
      <alignment vertical="center" wrapText="1"/>
    </xf>
    <xf numFmtId="0" fontId="36" fillId="10" borderId="108" xfId="0" applyFont="1" applyFill="1" applyBorder="1" applyAlignment="1" applyProtection="1">
      <alignment vertical="center" wrapText="1"/>
    </xf>
    <xf numFmtId="10" fontId="33" fillId="0" borderId="1" xfId="0" applyNumberFormat="1" applyFont="1" applyBorder="1" applyAlignment="1" applyProtection="1">
      <alignment vertical="center" wrapText="1"/>
    </xf>
    <xf numFmtId="2" fontId="33" fillId="0" borderId="105" xfId="12" applyNumberFormat="1" applyFont="1" applyBorder="1" applyAlignment="1" applyProtection="1">
      <alignment vertical="center" wrapText="1"/>
    </xf>
    <xf numFmtId="0" fontId="33" fillId="2" borderId="2" xfId="0" applyFont="1" applyFill="1" applyBorder="1" applyAlignment="1" applyProtection="1">
      <alignment vertical="center" wrapText="1"/>
    </xf>
    <xf numFmtId="10" fontId="33" fillId="2" borderId="1" xfId="0" applyNumberFormat="1" applyFont="1" applyFill="1" applyBorder="1" applyAlignment="1" applyProtection="1">
      <alignment vertical="center" wrapText="1"/>
    </xf>
    <xf numFmtId="10" fontId="36" fillId="10" borderId="4" xfId="0" applyNumberFormat="1" applyFont="1" applyFill="1" applyBorder="1" applyAlignment="1" applyProtection="1">
      <alignment vertical="center" wrapText="1"/>
    </xf>
    <xf numFmtId="44" fontId="36" fillId="10" borderId="106" xfId="12" applyFont="1" applyFill="1" applyBorder="1" applyAlignment="1" applyProtection="1">
      <alignment horizontal="center" vertical="top" wrapText="1"/>
    </xf>
    <xf numFmtId="0" fontId="33" fillId="2" borderId="4" xfId="0" applyFont="1" applyFill="1" applyBorder="1" applyAlignment="1" applyProtection="1">
      <alignment vertical="center" wrapText="1"/>
    </xf>
    <xf numFmtId="43" fontId="33" fillId="0" borderId="105" xfId="77" applyFont="1" applyBorder="1" applyAlignment="1" applyProtection="1">
      <alignment horizontal="center" vertical="top" wrapText="1"/>
    </xf>
    <xf numFmtId="0" fontId="36" fillId="10" borderId="98" xfId="0" applyFont="1" applyFill="1" applyBorder="1" applyAlignment="1" applyProtection="1">
      <alignment horizontal="center" vertical="center" wrapText="1"/>
    </xf>
    <xf numFmtId="0" fontId="36" fillId="10" borderId="1" xfId="0" applyFont="1" applyFill="1" applyBorder="1" applyAlignment="1" applyProtection="1">
      <alignment horizontal="left" vertical="center" wrapText="1"/>
    </xf>
    <xf numFmtId="0" fontId="36" fillId="10" borderId="1" xfId="0" applyFont="1" applyFill="1" applyBorder="1" applyAlignment="1" applyProtection="1">
      <alignment horizontal="center" vertical="center"/>
    </xf>
    <xf numFmtId="0" fontId="36" fillId="10" borderId="105" xfId="0" applyFont="1" applyFill="1" applyBorder="1" applyAlignment="1" applyProtection="1">
      <alignment horizontal="center" vertical="center" wrapText="1"/>
    </xf>
    <xf numFmtId="10" fontId="33" fillId="3" borderId="1" xfId="0" applyNumberFormat="1" applyFont="1" applyFill="1" applyBorder="1" applyAlignment="1" applyProtection="1">
      <alignment horizontal="right" vertical="center" wrapText="1"/>
      <protection locked="0"/>
    </xf>
    <xf numFmtId="44" fontId="33" fillId="0" borderId="105" xfId="12" applyFont="1" applyBorder="1" applyAlignment="1" applyProtection="1">
      <alignment horizontal="center" vertical="top" wrapText="1"/>
    </xf>
    <xf numFmtId="0" fontId="36" fillId="10" borderId="4" xfId="0" applyFont="1" applyFill="1" applyBorder="1" applyAlignment="1" applyProtection="1">
      <alignment horizontal="right" vertical="top" wrapText="1"/>
    </xf>
    <xf numFmtId="10" fontId="36" fillId="10" borderId="1" xfId="0" applyNumberFormat="1" applyFont="1" applyFill="1" applyBorder="1" applyAlignment="1" applyProtection="1">
      <alignment horizontal="right" vertical="top" wrapText="1"/>
    </xf>
    <xf numFmtId="44" fontId="36" fillId="10" borderId="105" xfId="12" applyFont="1" applyFill="1" applyBorder="1" applyAlignment="1" applyProtection="1">
      <alignment horizontal="center" vertical="top" wrapText="1"/>
    </xf>
    <xf numFmtId="0" fontId="33" fillId="0" borderId="1" xfId="0" applyFont="1" applyBorder="1" applyAlignment="1" applyProtection="1">
      <alignment horizontal="right" wrapText="1"/>
    </xf>
    <xf numFmtId="43" fontId="33" fillId="2" borderId="105" xfId="77" applyFont="1" applyFill="1" applyBorder="1" applyAlignment="1" applyProtection="1">
      <alignment horizontal="right" vertical="center" wrapText="1"/>
    </xf>
    <xf numFmtId="43" fontId="33" fillId="0" borderId="105" xfId="77" applyFont="1" applyBorder="1" applyAlignment="1" applyProtection="1">
      <alignment horizontal="right" vertical="center" wrapText="1"/>
    </xf>
    <xf numFmtId="43" fontId="33" fillId="0" borderId="105" xfId="77" applyFont="1" applyBorder="1" applyAlignment="1" applyProtection="1">
      <alignment vertical="center" wrapText="1"/>
    </xf>
    <xf numFmtId="0" fontId="33" fillId="10" borderId="109" xfId="0" applyFont="1" applyFill="1" applyBorder="1" applyAlignment="1" applyProtection="1">
      <alignment horizontal="center" wrapText="1"/>
    </xf>
    <xf numFmtId="0" fontId="36" fillId="10" borderId="2" xfId="0" applyFont="1" applyFill="1" applyBorder="1" applyAlignment="1" applyProtection="1">
      <alignment vertical="center" wrapText="1"/>
    </xf>
    <xf numFmtId="0" fontId="36" fillId="10" borderId="1" xfId="0" applyFont="1" applyFill="1" applyBorder="1" applyAlignment="1" applyProtection="1">
      <alignment horizontal="center" vertical="center" wrapText="1"/>
    </xf>
    <xf numFmtId="0" fontId="33" fillId="2" borderId="1" xfId="0" applyFont="1" applyFill="1" applyBorder="1" applyAlignment="1" applyProtection="1">
      <alignment vertical="center" wrapText="1"/>
    </xf>
    <xf numFmtId="0" fontId="36" fillId="10" borderId="4" xfId="0" applyFont="1" applyFill="1" applyBorder="1" applyAlignment="1" applyProtection="1">
      <alignment vertical="top" wrapText="1"/>
    </xf>
    <xf numFmtId="0" fontId="36" fillId="10" borderId="110" xfId="0" applyFont="1" applyFill="1" applyBorder="1" applyAlignment="1" applyProtection="1">
      <alignment horizontal="center" vertical="center" wrapText="1"/>
    </xf>
    <xf numFmtId="0" fontId="34" fillId="2" borderId="0" xfId="0" applyFont="1" applyFill="1" applyProtection="1"/>
    <xf numFmtId="0" fontId="34" fillId="2" borderId="98" xfId="0" applyFont="1" applyFill="1" applyBorder="1" applyAlignment="1" applyProtection="1">
      <alignment horizontal="center" vertical="center" wrapText="1"/>
    </xf>
    <xf numFmtId="0" fontId="34" fillId="2" borderId="2" xfId="0" applyFont="1" applyFill="1" applyBorder="1" applyAlignment="1" applyProtection="1">
      <alignment vertical="center" wrapText="1"/>
    </xf>
    <xf numFmtId="10" fontId="33" fillId="3" borderId="1" xfId="0" applyNumberFormat="1" applyFont="1" applyFill="1" applyBorder="1" applyAlignment="1" applyProtection="1">
      <alignment horizontal="center" vertical="center" wrapText="1"/>
      <protection locked="0"/>
    </xf>
    <xf numFmtId="0" fontId="34" fillId="2" borderId="0" xfId="0" applyFont="1" applyFill="1" applyBorder="1"/>
    <xf numFmtId="0" fontId="34" fillId="0" borderId="0" xfId="0" applyFont="1"/>
    <xf numFmtId="10" fontId="36" fillId="10" borderId="4" xfId="0" applyNumberFormat="1" applyFont="1" applyFill="1" applyBorder="1" applyAlignment="1" applyProtection="1">
      <alignment horizontal="center" vertical="center" wrapText="1"/>
    </xf>
    <xf numFmtId="0" fontId="36" fillId="10" borderId="110" xfId="0" applyFont="1" applyFill="1" applyBorder="1" applyAlignment="1" applyProtection="1">
      <alignment vertical="center" wrapText="1"/>
    </xf>
    <xf numFmtId="0" fontId="36" fillId="10" borderId="111" xfId="0" applyFont="1" applyFill="1" applyBorder="1" applyAlignment="1" applyProtection="1">
      <alignment horizontal="center" vertical="center" wrapText="1"/>
    </xf>
    <xf numFmtId="10" fontId="33" fillId="3" borderId="38" xfId="0" applyNumberFormat="1" applyFont="1" applyFill="1" applyBorder="1" applyAlignment="1" applyProtection="1">
      <alignment horizontal="center" vertical="center" wrapText="1"/>
      <protection locked="0"/>
    </xf>
    <xf numFmtId="2" fontId="33" fillId="0" borderId="105" xfId="12" applyNumberFormat="1" applyFont="1" applyBorder="1" applyAlignment="1" applyProtection="1">
      <alignment vertical="top" wrapText="1"/>
    </xf>
    <xf numFmtId="10" fontId="36" fillId="10" borderId="1" xfId="0" applyNumberFormat="1" applyFont="1" applyFill="1" applyBorder="1" applyAlignment="1" applyProtection="1">
      <alignment horizontal="center" vertical="center" wrapText="1"/>
    </xf>
    <xf numFmtId="0" fontId="33" fillId="0" borderId="4" xfId="0" applyFont="1" applyBorder="1" applyAlignment="1" applyProtection="1">
      <alignment vertical="center" wrapText="1"/>
    </xf>
    <xf numFmtId="0" fontId="36" fillId="10" borderId="109" xfId="0" applyFont="1" applyFill="1" applyBorder="1" applyAlignment="1" applyProtection="1">
      <alignment vertical="center" wrapText="1"/>
    </xf>
    <xf numFmtId="43" fontId="33" fillId="3" borderId="105" xfId="77" applyFont="1" applyFill="1" applyBorder="1" applyAlignment="1" applyProtection="1">
      <alignment horizontal="center" vertical="top" wrapText="1"/>
      <protection locked="0"/>
    </xf>
    <xf numFmtId="0" fontId="36" fillId="10" borderId="38" xfId="0" applyFont="1" applyFill="1" applyBorder="1" applyAlignment="1" applyProtection="1">
      <alignment horizontal="left" vertical="center" wrapText="1"/>
    </xf>
    <xf numFmtId="10" fontId="33" fillId="3" borderId="1" xfId="0" applyNumberFormat="1" applyFont="1" applyFill="1" applyBorder="1" applyAlignment="1" applyProtection="1">
      <alignment vertical="top" wrapText="1"/>
      <protection locked="0"/>
    </xf>
    <xf numFmtId="164" fontId="33" fillId="0" borderId="105" xfId="0" applyNumberFormat="1" applyFont="1" applyBorder="1" applyAlignment="1" applyProtection="1">
      <alignment horizontal="left" vertical="top"/>
    </xf>
    <xf numFmtId="10" fontId="33" fillId="0" borderId="1" xfId="0" applyNumberFormat="1" applyFont="1" applyBorder="1" applyAlignment="1" applyProtection="1">
      <alignment vertical="top" wrapText="1"/>
    </xf>
    <xf numFmtId="0" fontId="33" fillId="0" borderId="98" xfId="0" applyFont="1" applyBorder="1" applyAlignment="1" applyProtection="1">
      <alignment vertical="center" wrapText="1"/>
    </xf>
    <xf numFmtId="0" fontId="33" fillId="0" borderId="105" xfId="0" applyFont="1" applyBorder="1" applyAlignment="1" applyProtection="1">
      <alignment horizontal="left" vertical="top" wrapText="1"/>
    </xf>
    <xf numFmtId="10" fontId="36" fillId="10" borderId="1" xfId="0" applyNumberFormat="1" applyFont="1" applyFill="1" applyBorder="1" applyAlignment="1" applyProtection="1">
      <alignment vertical="top" wrapText="1"/>
    </xf>
    <xf numFmtId="44" fontId="36" fillId="10" borderId="105" xfId="12" applyFont="1" applyFill="1" applyBorder="1" applyAlignment="1" applyProtection="1">
      <alignment horizontal="left" vertical="top"/>
    </xf>
    <xf numFmtId="10" fontId="38" fillId="2" borderId="20" xfId="2" applyNumberFormat="1" applyFont="1" applyFill="1" applyBorder="1" applyAlignment="1" applyProtection="1"/>
    <xf numFmtId="0" fontId="38" fillId="2" borderId="20" xfId="0" applyFont="1" applyFill="1" applyBorder="1" applyAlignment="1" applyProtection="1">
      <alignment horizontal="right"/>
    </xf>
    <xf numFmtId="166" fontId="33" fillId="2" borderId="3" xfId="0" applyNumberFormat="1" applyFont="1" applyFill="1" applyBorder="1" applyAlignment="1" applyProtection="1">
      <alignment horizontal="center"/>
    </xf>
    <xf numFmtId="0" fontId="33" fillId="2" borderId="19" xfId="0" applyFont="1" applyFill="1" applyBorder="1" applyAlignment="1" applyProtection="1"/>
    <xf numFmtId="0" fontId="33" fillId="10" borderId="98" xfId="0" applyFont="1" applyFill="1" applyBorder="1" applyAlignment="1" applyProtection="1">
      <alignment wrapText="1"/>
    </xf>
    <xf numFmtId="43" fontId="36" fillId="10" borderId="105" xfId="77" applyFont="1" applyFill="1" applyBorder="1" applyAlignment="1" applyProtection="1">
      <alignment horizontal="center" vertical="top" wrapText="1"/>
    </xf>
    <xf numFmtId="43" fontId="33" fillId="0" borderId="105" xfId="77" applyFont="1" applyBorder="1" applyAlignment="1" applyProtection="1">
      <alignment horizontal="center" vertical="center" wrapText="1"/>
    </xf>
    <xf numFmtId="43" fontId="36" fillId="10" borderId="105" xfId="77" applyFont="1" applyFill="1" applyBorder="1" applyAlignment="1" applyProtection="1">
      <alignment horizontal="center" vertical="top"/>
    </xf>
    <xf numFmtId="0" fontId="33" fillId="0" borderId="109" xfId="0" applyFont="1" applyFill="1" applyBorder="1" applyAlignment="1" applyProtection="1">
      <alignment horizontal="justify"/>
    </xf>
    <xf numFmtId="0" fontId="33" fillId="0" borderId="6" xfId="0" applyFont="1" applyFill="1" applyBorder="1" applyProtection="1"/>
    <xf numFmtId="0" fontId="33" fillId="0" borderId="102" xfId="0" applyFont="1" applyFill="1" applyBorder="1" applyAlignment="1" applyProtection="1">
      <alignment horizontal="center" vertical="top"/>
    </xf>
    <xf numFmtId="0" fontId="39" fillId="2" borderId="0" xfId="0" applyFont="1" applyFill="1"/>
    <xf numFmtId="0" fontId="39" fillId="2" borderId="0" xfId="0" applyFont="1" applyFill="1" applyAlignment="1">
      <alignment horizontal="center" vertical="center" wrapText="1"/>
    </xf>
    <xf numFmtId="0" fontId="40" fillId="0" borderId="0" xfId="0" applyFont="1" applyBorder="1" applyAlignment="1">
      <alignment horizontal="center" vertical="center"/>
    </xf>
    <xf numFmtId="0" fontId="39" fillId="2" borderId="0" xfId="0" applyFont="1" applyFill="1" applyBorder="1" applyAlignment="1">
      <alignment horizontal="center" vertical="center" wrapText="1"/>
    </xf>
    <xf numFmtId="0" fontId="41" fillId="0" borderId="0" xfId="0" applyFont="1" applyBorder="1" applyAlignment="1">
      <alignment horizontal="justify" vertical="center"/>
    </xf>
    <xf numFmtId="0" fontId="39" fillId="2" borderId="0" xfId="0" applyFont="1" applyFill="1" applyAlignment="1">
      <alignment wrapText="1"/>
    </xf>
    <xf numFmtId="0" fontId="39" fillId="2" borderId="0" xfId="0" applyFont="1" applyFill="1" applyBorder="1"/>
    <xf numFmtId="10" fontId="39" fillId="2" borderId="0" xfId="0" applyNumberFormat="1" applyFont="1" applyFill="1" applyBorder="1" applyAlignment="1">
      <alignment horizontal="center" vertical="center" wrapText="1"/>
    </xf>
    <xf numFmtId="10" fontId="39" fillId="2" borderId="0" xfId="0" applyNumberFormat="1" applyFont="1" applyFill="1" applyBorder="1"/>
    <xf numFmtId="9" fontId="39" fillId="2" borderId="0" xfId="0" applyNumberFormat="1" applyFont="1" applyFill="1"/>
    <xf numFmtId="173" fontId="39" fillId="2" borderId="0" xfId="0" applyNumberFormat="1" applyFont="1" applyFill="1" applyAlignment="1">
      <alignment horizontal="center" vertical="center" wrapText="1"/>
    </xf>
    <xf numFmtId="0" fontId="33" fillId="0" borderId="1" xfId="0" applyFont="1" applyBorder="1" applyAlignment="1" applyProtection="1">
      <alignment horizontal="left" vertical="center" wrapText="1"/>
    </xf>
    <xf numFmtId="0" fontId="29" fillId="0" borderId="89" xfId="21" applyFont="1" applyBorder="1"/>
    <xf numFmtId="0" fontId="75" fillId="0" borderId="0" xfId="0" applyFont="1"/>
    <xf numFmtId="0" fontId="74" fillId="0" borderId="1" xfId="0" applyFont="1" applyFill="1" applyBorder="1" applyAlignment="1" applyProtection="1">
      <alignment horizontal="center" vertical="center"/>
    </xf>
    <xf numFmtId="0" fontId="74" fillId="0" borderId="1" xfId="0" applyFont="1" applyFill="1" applyBorder="1" applyAlignment="1" applyProtection="1">
      <alignment wrapText="1"/>
    </xf>
    <xf numFmtId="1" fontId="74" fillId="0" borderId="1" xfId="6" applyNumberFormat="1" applyFont="1" applyFill="1" applyBorder="1" applyAlignment="1" applyProtection="1">
      <alignment horizontal="center" vertical="center"/>
    </xf>
    <xf numFmtId="170" fontId="75" fillId="0" borderId="1" xfId="6" applyFont="1" applyFill="1" applyBorder="1" applyProtection="1"/>
    <xf numFmtId="171" fontId="75" fillId="0" borderId="1" xfId="0" applyNumberFormat="1" applyFont="1" applyFill="1" applyBorder="1" applyAlignment="1" applyProtection="1">
      <alignment horizontal="center" vertical="center"/>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43" fillId="0" borderId="2" xfId="0" applyFont="1" applyBorder="1" applyAlignment="1">
      <alignment horizontal="justify" vertical="center"/>
    </xf>
    <xf numFmtId="0" fontId="0" fillId="0" borderId="4" xfId="0" applyBorder="1" applyAlignment="1"/>
    <xf numFmtId="0" fontId="43" fillId="2" borderId="1" xfId="0" applyFont="1" applyFill="1" applyBorder="1" applyAlignment="1">
      <alignment horizontal="justify" vertical="center"/>
    </xf>
    <xf numFmtId="0" fontId="0" fillId="2" borderId="1" xfId="0" applyFill="1" applyBorder="1" applyAlignment="1"/>
    <xf numFmtId="0" fontId="47" fillId="0" borderId="0" xfId="0" applyFont="1" applyBorder="1" applyAlignment="1">
      <alignment horizontal="justify" vertical="center"/>
    </xf>
    <xf numFmtId="0" fontId="0" fillId="0" borderId="0" xfId="0" applyBorder="1" applyAlignment="1"/>
    <xf numFmtId="0" fontId="46" fillId="0" borderId="2" xfId="0" applyFont="1" applyBorder="1" applyAlignment="1">
      <alignment horizontal="justify" vertical="center"/>
    </xf>
    <xf numFmtId="0" fontId="45" fillId="0" borderId="4" xfId="0" applyFont="1" applyBorder="1" applyAlignment="1"/>
    <xf numFmtId="0" fontId="42" fillId="0" borderId="2" xfId="0" applyFont="1" applyBorder="1" applyAlignment="1">
      <alignment horizontal="justify" vertical="center"/>
    </xf>
    <xf numFmtId="0" fontId="42" fillId="0" borderId="0" xfId="0" applyFont="1" applyBorder="1" applyAlignment="1">
      <alignment horizontal="justify" vertical="center"/>
    </xf>
    <xf numFmtId="0" fontId="39" fillId="2" borderId="0" xfId="0" applyFont="1" applyFill="1" applyBorder="1" applyAlignment="1"/>
    <xf numFmtId="0" fontId="43" fillId="0" borderId="1" xfId="0" applyFont="1" applyBorder="1" applyAlignment="1">
      <alignment horizontal="justify" vertical="center"/>
    </xf>
    <xf numFmtId="0" fontId="0" fillId="0" borderId="1" xfId="0" applyBorder="1" applyAlignment="1"/>
    <xf numFmtId="0" fontId="44" fillId="0" borderId="2" xfId="0" applyFont="1" applyBorder="1" applyAlignment="1">
      <alignment horizontal="justify" vertical="center"/>
    </xf>
    <xf numFmtId="0" fontId="36" fillId="10" borderId="20" xfId="0" applyFont="1" applyFill="1" applyBorder="1" applyAlignment="1" applyProtection="1">
      <alignment horizontal="center" vertical="center" wrapText="1"/>
    </xf>
    <xf numFmtId="0" fontId="36" fillId="10" borderId="3" xfId="0" applyFont="1" applyFill="1" applyBorder="1" applyAlignment="1" applyProtection="1">
      <alignment horizontal="center" vertical="center" wrapText="1"/>
    </xf>
    <xf numFmtId="0" fontId="36" fillId="10" borderId="4" xfId="0" applyFont="1" applyFill="1" applyBorder="1" applyAlignment="1" applyProtection="1">
      <alignment horizontal="center" vertical="center" wrapText="1"/>
    </xf>
    <xf numFmtId="0" fontId="33" fillId="0" borderId="2" xfId="0" applyFont="1" applyBorder="1" applyAlignment="1" applyProtection="1">
      <alignment horizontal="left" vertical="center" wrapText="1"/>
    </xf>
    <xf numFmtId="0" fontId="33" fillId="0" borderId="4" xfId="0" applyFont="1" applyBorder="1" applyAlignment="1" applyProtection="1">
      <alignment horizontal="left" vertical="center" wrapText="1"/>
    </xf>
    <xf numFmtId="0" fontId="36" fillId="10" borderId="20" xfId="0" applyFont="1" applyFill="1" applyBorder="1" applyAlignment="1" applyProtection="1">
      <alignment horizontal="left" vertical="center" wrapText="1"/>
    </xf>
    <xf numFmtId="0" fontId="36" fillId="10" borderId="3" xfId="0" applyFont="1" applyFill="1" applyBorder="1" applyAlignment="1" applyProtection="1">
      <alignment horizontal="left" vertical="center" wrapText="1"/>
    </xf>
    <xf numFmtId="0" fontId="36" fillId="10" borderId="4" xfId="0" applyFont="1" applyFill="1" applyBorder="1" applyAlignment="1" applyProtection="1">
      <alignment horizontal="left" vertical="center" wrapText="1"/>
    </xf>
    <xf numFmtId="0" fontId="36" fillId="0" borderId="92" xfId="0" applyFont="1" applyBorder="1" applyAlignment="1">
      <alignment horizontal="center" vertical="center"/>
    </xf>
    <xf numFmtId="0" fontId="33" fillId="0" borderId="1" xfId="0" applyFont="1" applyBorder="1" applyAlignment="1" applyProtection="1">
      <alignment horizontal="left" vertical="center" wrapText="1"/>
    </xf>
    <xf numFmtId="0" fontId="33" fillId="2" borderId="109" xfId="0" applyFont="1" applyFill="1" applyBorder="1" applyAlignment="1" applyProtection="1">
      <alignment horizontal="center"/>
    </xf>
    <xf numFmtId="0" fontId="33" fillId="2" borderId="6" xfId="0" applyFont="1" applyFill="1" applyBorder="1" applyAlignment="1" applyProtection="1">
      <alignment horizontal="center"/>
    </xf>
    <xf numFmtId="0" fontId="33" fillId="2" borderId="102" xfId="0" applyFont="1" applyFill="1" applyBorder="1" applyAlignment="1" applyProtection="1">
      <alignment horizontal="center"/>
    </xf>
    <xf numFmtId="0" fontId="33" fillId="9" borderId="95" xfId="0" applyFont="1" applyFill="1" applyBorder="1" applyAlignment="1" applyProtection="1">
      <alignment horizontal="center" vertical="center"/>
    </xf>
    <xf numFmtId="0" fontId="33" fillId="9" borderId="96" xfId="0" applyFont="1" applyFill="1" applyBorder="1" applyAlignment="1" applyProtection="1">
      <alignment horizontal="center" vertical="center"/>
    </xf>
    <xf numFmtId="0" fontId="33"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center" wrapText="1"/>
    </xf>
    <xf numFmtId="0" fontId="36" fillId="10" borderId="4" xfId="0" applyFont="1" applyFill="1" applyBorder="1" applyAlignment="1" applyProtection="1">
      <alignment horizontal="right" vertical="center" wrapText="1"/>
    </xf>
    <xf numFmtId="0" fontId="36" fillId="9" borderId="20"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0" fontId="36" fillId="9" borderId="19" xfId="0" applyFont="1" applyFill="1" applyBorder="1" applyAlignment="1" applyProtection="1">
      <alignment horizontal="center" vertical="center"/>
    </xf>
    <xf numFmtId="0" fontId="36" fillId="10" borderId="2" xfId="0" applyFont="1" applyFill="1" applyBorder="1" applyAlignment="1" applyProtection="1">
      <alignment horizontal="left" vertical="center" wrapText="1"/>
    </xf>
    <xf numFmtId="0" fontId="36" fillId="10" borderId="107" xfId="0" applyFont="1" applyFill="1" applyBorder="1" applyAlignment="1" applyProtection="1">
      <alignment horizontal="left" vertical="center" wrapText="1"/>
    </xf>
    <xf numFmtId="0" fontId="36" fillId="10" borderId="108" xfId="0" applyFont="1" applyFill="1" applyBorder="1" applyAlignment="1" applyProtection="1">
      <alignment horizontal="left" vertical="center" wrapText="1"/>
    </xf>
    <xf numFmtId="0" fontId="36" fillId="10" borderId="3" xfId="0" applyFont="1" applyFill="1" applyBorder="1" applyAlignment="1" applyProtection="1">
      <alignment horizontal="right" vertical="center" wrapText="1"/>
    </xf>
    <xf numFmtId="0" fontId="36" fillId="2" borderId="20" xfId="0" applyFont="1" applyFill="1" applyBorder="1" applyAlignment="1" applyProtection="1">
      <alignment horizontal="center" vertical="center" wrapText="1"/>
    </xf>
    <xf numFmtId="0" fontId="36" fillId="2" borderId="3" xfId="0" applyFont="1" applyFill="1" applyBorder="1" applyAlignment="1" applyProtection="1">
      <alignment horizontal="center" vertical="center" wrapText="1"/>
    </xf>
    <xf numFmtId="0" fontId="36" fillId="2" borderId="19" xfId="0" applyFont="1" applyFill="1" applyBorder="1" applyAlignment="1" applyProtection="1">
      <alignment horizontal="center" vertical="center" wrapText="1"/>
    </xf>
    <xf numFmtId="0" fontId="36" fillId="10" borderId="6" xfId="0" applyFont="1" applyFill="1" applyBorder="1" applyAlignment="1" applyProtection="1">
      <alignment horizontal="right" vertical="center" wrapText="1"/>
    </xf>
    <xf numFmtId="0" fontId="36" fillId="10" borderId="112" xfId="0" applyFont="1" applyFill="1" applyBorder="1" applyAlignment="1" applyProtection="1">
      <alignment horizontal="right" vertical="center" wrapText="1"/>
    </xf>
    <xf numFmtId="0" fontId="36" fillId="9" borderId="95" xfId="0" applyFont="1" applyFill="1" applyBorder="1" applyAlignment="1" applyProtection="1">
      <alignment horizontal="center" vertical="center"/>
    </xf>
    <xf numFmtId="0" fontId="36" fillId="9" borderId="96" xfId="0" applyFont="1" applyFill="1" applyBorder="1" applyAlignment="1" applyProtection="1">
      <alignment horizontal="center" vertical="center"/>
    </xf>
    <xf numFmtId="0" fontId="36" fillId="9" borderId="97" xfId="0" applyFont="1" applyFill="1" applyBorder="1" applyAlignment="1" applyProtection="1">
      <alignment horizontal="center" vertical="center"/>
    </xf>
    <xf numFmtId="0" fontId="36" fillId="2" borderId="109" xfId="0" applyFont="1" applyFill="1" applyBorder="1" applyAlignment="1" applyProtection="1">
      <alignment horizontal="center" vertical="center" wrapText="1"/>
    </xf>
    <xf numFmtId="0" fontId="36" fillId="2" borderId="6" xfId="0" applyFont="1" applyFill="1" applyBorder="1" applyAlignment="1" applyProtection="1">
      <alignment horizontal="center" vertical="center" wrapText="1"/>
    </xf>
    <xf numFmtId="0" fontId="36" fillId="2" borderId="102" xfId="0" applyFont="1" applyFill="1" applyBorder="1" applyAlignment="1" applyProtection="1">
      <alignment horizontal="center" vertical="center" wrapText="1"/>
    </xf>
    <xf numFmtId="0" fontId="33" fillId="2" borderId="2" xfId="0" applyFont="1" applyFill="1" applyBorder="1" applyAlignment="1" applyProtection="1">
      <alignment horizontal="justify" vertical="justify" wrapText="1"/>
    </xf>
    <xf numFmtId="0" fontId="33" fillId="2" borderId="4" xfId="0" applyFont="1" applyFill="1" applyBorder="1" applyAlignment="1" applyProtection="1">
      <alignment horizontal="justify" vertical="justify" wrapText="1"/>
    </xf>
    <xf numFmtId="0" fontId="36" fillId="10" borderId="3" xfId="0" applyFont="1" applyFill="1" applyBorder="1" applyAlignment="1" applyProtection="1">
      <alignment horizontal="right" vertical="top" wrapText="1"/>
    </xf>
    <xf numFmtId="0" fontId="36" fillId="10" borderId="4" xfId="0" applyFont="1" applyFill="1" applyBorder="1" applyAlignment="1" applyProtection="1">
      <alignment horizontal="right" vertical="top" wrapText="1"/>
    </xf>
    <xf numFmtId="0" fontId="33" fillId="2" borderId="109" xfId="0" applyFont="1" applyFill="1" applyBorder="1" applyAlignment="1" applyProtection="1">
      <alignment horizontal="center" wrapText="1"/>
    </xf>
    <xf numFmtId="0" fontId="33" fillId="2" borderId="6" xfId="0" applyFont="1" applyFill="1" applyBorder="1" applyAlignment="1" applyProtection="1">
      <alignment horizontal="center" wrapText="1"/>
    </xf>
    <xf numFmtId="0" fontId="33" fillId="2" borderId="102" xfId="0" applyFont="1" applyFill="1" applyBorder="1" applyAlignment="1" applyProtection="1">
      <alignment horizontal="center" wrapText="1"/>
    </xf>
    <xf numFmtId="0" fontId="37" fillId="9" borderId="95" xfId="0" applyFont="1" applyFill="1" applyBorder="1" applyAlignment="1" applyProtection="1">
      <alignment horizontal="center" vertical="center"/>
    </xf>
    <xf numFmtId="0" fontId="37" fillId="9" borderId="96" xfId="0" applyFont="1" applyFill="1" applyBorder="1" applyAlignment="1" applyProtection="1">
      <alignment horizontal="center" vertical="center"/>
    </xf>
    <xf numFmtId="0" fontId="37"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top" wrapText="1"/>
    </xf>
    <xf numFmtId="0" fontId="33" fillId="2" borderId="2" xfId="0" applyFont="1" applyFill="1" applyBorder="1" applyAlignment="1" applyProtection="1">
      <alignment horizontal="left" vertical="justify" wrapText="1"/>
    </xf>
    <xf numFmtId="0" fontId="33" fillId="2" borderId="4" xfId="0" applyFont="1" applyFill="1" applyBorder="1" applyAlignment="1" applyProtection="1">
      <alignment horizontal="left" vertical="justify" wrapText="1"/>
    </xf>
    <xf numFmtId="49" fontId="36" fillId="0" borderId="2" xfId="77" applyNumberFormat="1" applyFont="1" applyBorder="1" applyAlignment="1" applyProtection="1">
      <alignment horizontal="center" vertical="center"/>
    </xf>
    <xf numFmtId="49" fontId="36" fillId="0" borderId="19" xfId="77" applyNumberFormat="1" applyFont="1" applyBorder="1" applyAlignment="1" applyProtection="1">
      <alignment horizontal="center" vertical="center"/>
    </xf>
    <xf numFmtId="44" fontId="36" fillId="2" borderId="2" xfId="12" applyFont="1" applyFill="1" applyBorder="1" applyAlignment="1" applyProtection="1">
      <alignment horizontal="center" vertical="center"/>
    </xf>
    <xf numFmtId="44" fontId="36" fillId="2" borderId="19" xfId="12" applyFont="1" applyFill="1" applyBorder="1" applyAlignment="1" applyProtection="1">
      <alignment horizontal="center" vertical="center"/>
    </xf>
    <xf numFmtId="0" fontId="33" fillId="0" borderId="2" xfId="0" applyFont="1" applyBorder="1" applyAlignment="1" applyProtection="1">
      <alignment horizontal="center" vertical="center" wrapText="1"/>
    </xf>
    <xf numFmtId="0" fontId="33" fillId="0" borderId="19" xfId="0" applyFont="1" applyBorder="1" applyAlignment="1" applyProtection="1">
      <alignment horizontal="center" vertical="center" wrapText="1"/>
    </xf>
    <xf numFmtId="14" fontId="33" fillId="0" borderId="101" xfId="0" applyNumberFormat="1" applyFont="1" applyBorder="1" applyAlignment="1" applyProtection="1">
      <alignment horizontal="center" vertical="center" wrapText="1"/>
    </xf>
    <xf numFmtId="0" fontId="33" fillId="0" borderId="102" xfId="0" applyFont="1" applyBorder="1" applyAlignment="1" applyProtection="1">
      <alignment horizontal="center" vertical="center" wrapText="1"/>
    </xf>
    <xf numFmtId="0" fontId="34" fillId="9" borderId="95" xfId="0" applyFont="1" applyFill="1" applyBorder="1" applyAlignment="1" applyProtection="1">
      <alignment horizontal="center" vertical="center"/>
    </xf>
    <xf numFmtId="0" fontId="34" fillId="9" borderId="96" xfId="0" applyFont="1" applyFill="1" applyBorder="1" applyAlignment="1" applyProtection="1">
      <alignment horizontal="center" vertical="center"/>
    </xf>
    <xf numFmtId="0" fontId="34" fillId="9" borderId="97" xfId="0" applyFont="1" applyFill="1" applyBorder="1" applyAlignment="1" applyProtection="1">
      <alignment horizontal="center" vertical="center"/>
    </xf>
    <xf numFmtId="0" fontId="36" fillId="10" borderId="20" xfId="0" applyFont="1" applyFill="1" applyBorder="1" applyAlignment="1" applyProtection="1">
      <alignment horizontal="left" vertical="center"/>
    </xf>
    <xf numFmtId="0" fontId="36" fillId="10" borderId="3" xfId="0" applyFont="1" applyFill="1" applyBorder="1" applyAlignment="1" applyProtection="1">
      <alignment horizontal="left" vertical="center"/>
    </xf>
    <xf numFmtId="0" fontId="36" fillId="10" borderId="19" xfId="0" applyFont="1" applyFill="1" applyBorder="1" applyAlignment="1" applyProtection="1">
      <alignment horizontal="left" vertical="center"/>
    </xf>
    <xf numFmtId="0" fontId="33" fillId="0" borderId="2" xfId="0" applyFont="1" applyBorder="1" applyAlignment="1" applyProtection="1">
      <alignment horizontal="center" vertical="top"/>
    </xf>
    <xf numFmtId="0" fontId="33" fillId="0" borderId="19" xfId="0" applyFont="1" applyBorder="1" applyAlignment="1" applyProtection="1">
      <alignment horizontal="center" vertical="top"/>
    </xf>
    <xf numFmtId="0" fontId="37" fillId="9" borderId="2" xfId="0" applyFont="1" applyFill="1" applyBorder="1" applyAlignment="1" applyProtection="1">
      <alignment horizontal="left" vertical="top" wrapText="1"/>
    </xf>
    <xf numFmtId="0" fontId="37" fillId="9" borderId="3" xfId="0" applyFont="1" applyFill="1" applyBorder="1" applyAlignment="1" applyProtection="1">
      <alignment horizontal="left" vertical="top"/>
    </xf>
    <xf numFmtId="0" fontId="37" fillId="9" borderId="19" xfId="0" applyFont="1" applyFill="1" applyBorder="1" applyAlignment="1" applyProtection="1">
      <alignment horizontal="left" vertical="top"/>
    </xf>
    <xf numFmtId="0" fontId="36" fillId="11" borderId="20" xfId="0" applyFont="1" applyFill="1" applyBorder="1" applyAlignment="1" applyProtection="1">
      <alignment horizontal="center" vertical="center" wrapText="1"/>
    </xf>
    <xf numFmtId="0" fontId="36" fillId="11" borderId="3" xfId="0" applyFont="1" applyFill="1" applyBorder="1" applyAlignment="1" applyProtection="1">
      <alignment horizontal="center" vertical="center" wrapText="1"/>
    </xf>
    <xf numFmtId="0" fontId="36" fillId="11" borderId="19" xfId="0" applyFont="1" applyFill="1" applyBorder="1" applyAlignment="1" applyProtection="1">
      <alignment horizontal="center" vertical="center" wrapText="1"/>
    </xf>
    <xf numFmtId="0" fontId="35" fillId="9" borderId="95" xfId="0" applyFont="1" applyFill="1" applyBorder="1" applyAlignment="1" applyProtection="1">
      <alignment horizontal="center"/>
    </xf>
    <xf numFmtId="0" fontId="35" fillId="9" borderId="96" xfId="0" applyFont="1" applyFill="1" applyBorder="1" applyAlignment="1" applyProtection="1">
      <alignment horizontal="center"/>
    </xf>
    <xf numFmtId="0" fontId="35" fillId="9" borderId="97" xfId="0" applyFont="1" applyFill="1" applyBorder="1" applyAlignment="1" applyProtection="1">
      <alignment horizontal="center"/>
    </xf>
    <xf numFmtId="49" fontId="33" fillId="3" borderId="2" xfId="0" applyNumberFormat="1" applyFont="1" applyFill="1" applyBorder="1" applyAlignment="1" applyProtection="1">
      <alignment horizontal="center" vertical="top"/>
      <protection locked="0"/>
    </xf>
    <xf numFmtId="49" fontId="33" fillId="3" borderId="19" xfId="0" applyNumberFormat="1" applyFont="1" applyFill="1" applyBorder="1" applyAlignment="1" applyProtection="1">
      <alignment horizontal="center" vertical="top"/>
      <protection locked="0"/>
    </xf>
    <xf numFmtId="0" fontId="33" fillId="2" borderId="2" xfId="0" applyFont="1" applyFill="1" applyBorder="1" applyAlignment="1" applyProtection="1">
      <alignment horizontal="center" vertical="center" wrapText="1"/>
      <protection locked="0"/>
    </xf>
    <xf numFmtId="0" fontId="33" fillId="2" borderId="19" xfId="0" applyFont="1" applyFill="1" applyBorder="1" applyAlignment="1" applyProtection="1">
      <alignment horizontal="center" vertical="center" wrapText="1"/>
      <protection locked="0"/>
    </xf>
    <xf numFmtId="14" fontId="33" fillId="0" borderId="2" xfId="0" applyNumberFormat="1" applyFont="1" applyBorder="1" applyAlignment="1" applyProtection="1">
      <alignment horizontal="center" vertical="top"/>
    </xf>
    <xf numFmtId="0" fontId="30" fillId="0" borderId="80" xfId="21" applyFont="1" applyBorder="1" applyAlignment="1">
      <alignment horizontal="center" vertical="center" wrapText="1"/>
    </xf>
    <xf numFmtId="0" fontId="29" fillId="0" borderId="82" xfId="21" applyFont="1" applyBorder="1"/>
    <xf numFmtId="0" fontId="28" fillId="0" borderId="80" xfId="21" applyFont="1" applyBorder="1" applyAlignment="1">
      <alignment horizontal="center" vertical="center" wrapText="1"/>
    </xf>
    <xf numFmtId="0" fontId="29" fillId="0" borderId="89" xfId="21" applyFont="1" applyBorder="1"/>
    <xf numFmtId="0" fontId="28" fillId="8" borderId="41" xfId="21" applyFont="1" applyFill="1" applyBorder="1" applyAlignment="1">
      <alignment horizontal="center" vertical="center" wrapText="1"/>
    </xf>
    <xf numFmtId="0" fontId="29" fillId="0" borderId="42" xfId="21" applyFont="1" applyBorder="1"/>
    <xf numFmtId="0" fontId="29" fillId="0" borderId="43" xfId="21" applyFont="1" applyBorder="1"/>
    <xf numFmtId="0" fontId="29" fillId="0" borderId="47" xfId="21" applyFont="1" applyBorder="1"/>
    <xf numFmtId="0" fontId="29" fillId="0" borderId="48" xfId="21" applyFont="1" applyBorder="1"/>
    <xf numFmtId="0" fontId="29" fillId="0" borderId="49" xfId="21" applyFont="1" applyBorder="1"/>
    <xf numFmtId="0" fontId="28" fillId="8" borderId="80" xfId="21" applyFont="1" applyFill="1" applyBorder="1" applyAlignment="1">
      <alignment horizontal="center" vertical="center" wrapText="1"/>
    </xf>
    <xf numFmtId="168" fontId="28" fillId="8" borderId="44" xfId="21" applyNumberFormat="1" applyFont="1" applyFill="1" applyBorder="1" applyAlignment="1">
      <alignment horizontal="center" vertical="center" wrapText="1"/>
    </xf>
    <xf numFmtId="0" fontId="29" fillId="0" borderId="50" xfId="21" applyFont="1" applyBorder="1"/>
    <xf numFmtId="168" fontId="28" fillId="8" borderId="79" xfId="21" applyNumberFormat="1" applyFont="1" applyFill="1" applyBorder="1" applyAlignment="1">
      <alignment horizontal="center" vertical="center" wrapText="1"/>
    </xf>
    <xf numFmtId="0" fontId="29" fillId="0" borderId="81" xfId="21" applyFont="1" applyBorder="1"/>
    <xf numFmtId="168" fontId="28" fillId="0" borderId="79" xfId="21" applyNumberFormat="1" applyFont="1" applyBorder="1" applyAlignment="1" applyProtection="1">
      <alignment horizontal="center" vertical="center" wrapText="1"/>
    </xf>
    <xf numFmtId="0" fontId="29" fillId="0" borderId="81" xfId="21" applyFont="1" applyBorder="1" applyProtection="1"/>
    <xf numFmtId="0" fontId="28" fillId="0" borderId="77" xfId="21" applyFont="1" applyBorder="1" applyAlignment="1" applyProtection="1">
      <alignment horizontal="center" vertical="center" wrapText="1"/>
    </xf>
    <xf numFmtId="0" fontId="29" fillId="0" borderId="65" xfId="21" applyFont="1" applyBorder="1" applyProtection="1"/>
    <xf numFmtId="0" fontId="29" fillId="0" borderId="66" xfId="21" applyFont="1" applyBorder="1" applyProtection="1"/>
    <xf numFmtId="172" fontId="28" fillId="0" borderId="64" xfId="21" applyNumberFormat="1" applyFont="1" applyBorder="1" applyAlignment="1" applyProtection="1">
      <alignment horizontal="center" vertical="center" wrapText="1"/>
    </xf>
    <xf numFmtId="0" fontId="29" fillId="0" borderId="84" xfId="21" applyFont="1" applyBorder="1" applyProtection="1"/>
    <xf numFmtId="0" fontId="28" fillId="8" borderId="39" xfId="21" applyFont="1" applyFill="1" applyBorder="1" applyAlignment="1" applyProtection="1">
      <alignment horizontal="center" vertical="center"/>
    </xf>
    <xf numFmtId="0" fontId="29" fillId="0" borderId="40" xfId="21" applyFont="1" applyBorder="1" applyProtection="1"/>
    <xf numFmtId="0" fontId="29" fillId="0" borderId="71" xfId="21" applyFont="1" applyBorder="1" applyProtection="1"/>
    <xf numFmtId="168" fontId="28" fillId="8" borderId="72" xfId="21" applyNumberFormat="1" applyFont="1" applyFill="1" applyBorder="1" applyAlignment="1" applyProtection="1">
      <alignment horizontal="center" vertical="center"/>
    </xf>
    <xf numFmtId="0" fontId="29" fillId="0" borderId="78" xfId="21" applyFont="1" applyBorder="1" applyProtection="1"/>
    <xf numFmtId="0" fontId="28" fillId="0" borderId="59" xfId="21" applyFont="1" applyBorder="1" applyAlignment="1" applyProtection="1">
      <alignment horizontal="center" vertical="center" wrapText="1"/>
    </xf>
    <xf numFmtId="0" fontId="29" fillId="0" borderId="60" xfId="21" applyFont="1" applyBorder="1" applyProtection="1"/>
    <xf numFmtId="0" fontId="29" fillId="0" borderId="46" xfId="21" applyFont="1" applyBorder="1" applyProtection="1"/>
    <xf numFmtId="4" fontId="28" fillId="0" borderId="45" xfId="21" applyNumberFormat="1" applyFont="1" applyBorder="1" applyAlignment="1" applyProtection="1">
      <alignment horizontal="center" vertical="center" wrapText="1"/>
    </xf>
    <xf numFmtId="0" fontId="29" fillId="0" borderId="87" xfId="21" applyFont="1" applyBorder="1" applyProtection="1"/>
    <xf numFmtId="0" fontId="28" fillId="8" borderId="59" xfId="21" applyFont="1" applyFill="1" applyBorder="1" applyAlignment="1" applyProtection="1">
      <alignment horizontal="center" vertical="center" wrapText="1"/>
    </xf>
    <xf numFmtId="169" fontId="28" fillId="8" borderId="45" xfId="21" applyNumberFormat="1" applyFont="1" applyFill="1" applyBorder="1" applyAlignment="1" applyProtection="1">
      <alignment horizontal="center" vertical="center" wrapText="1"/>
    </xf>
    <xf numFmtId="0" fontId="28" fillId="8" borderId="67" xfId="21" applyFont="1" applyFill="1" applyBorder="1" applyAlignment="1">
      <alignment horizontal="center" vertical="center" wrapText="1"/>
    </xf>
    <xf numFmtId="0" fontId="29" fillId="0" borderId="68" xfId="21" applyFont="1" applyBorder="1"/>
    <xf numFmtId="4" fontId="28" fillId="8" borderId="44" xfId="21" applyNumberFormat="1" applyFont="1" applyFill="1" applyBorder="1" applyAlignment="1">
      <alignment horizontal="center" vertical="center" wrapText="1"/>
    </xf>
    <xf numFmtId="0" fontId="28" fillId="8" borderId="44" xfId="21" applyFont="1" applyFill="1" applyBorder="1" applyAlignment="1">
      <alignment horizontal="center" vertical="center" wrapText="1"/>
    </xf>
    <xf numFmtId="3" fontId="28" fillId="8" borderId="44" xfId="21" applyNumberFormat="1" applyFont="1" applyFill="1" applyBorder="1" applyAlignment="1">
      <alignment horizontal="center" vertical="center" wrapText="1"/>
    </xf>
    <xf numFmtId="168" fontId="28" fillId="0" borderId="76" xfId="21" applyNumberFormat="1" applyFont="1" applyBorder="1" applyAlignment="1" applyProtection="1">
      <alignment horizontal="center" vertical="center" wrapText="1"/>
    </xf>
    <xf numFmtId="0" fontId="29" fillId="0" borderId="74" xfId="21" applyFont="1" applyBorder="1" applyProtection="1"/>
    <xf numFmtId="0" fontId="29" fillId="0" borderId="75" xfId="21" applyFont="1" applyBorder="1" applyProtection="1"/>
    <xf numFmtId="0" fontId="29" fillId="0" borderId="88" xfId="21" applyFont="1" applyBorder="1" applyProtection="1"/>
    <xf numFmtId="168" fontId="28" fillId="0" borderId="45" xfId="21" applyNumberFormat="1" applyFont="1" applyBorder="1" applyAlignment="1" applyProtection="1">
      <alignment horizontal="center" vertical="center" wrapText="1"/>
    </xf>
    <xf numFmtId="0" fontId="28" fillId="0" borderId="73" xfId="21" applyFont="1" applyBorder="1" applyAlignment="1" applyProtection="1">
      <alignment horizontal="center" vertical="center" wrapText="1"/>
    </xf>
    <xf numFmtId="4" fontId="28" fillId="0" borderId="76" xfId="21" applyNumberFormat="1" applyFont="1" applyBorder="1" applyAlignment="1" applyProtection="1">
      <alignment horizontal="center" vertical="center" wrapText="1"/>
    </xf>
    <xf numFmtId="3" fontId="28" fillId="8" borderId="45" xfId="21" applyNumberFormat="1" applyFont="1" applyFill="1" applyBorder="1" applyAlignment="1">
      <alignment horizontal="center" vertical="center" wrapText="1"/>
    </xf>
    <xf numFmtId="0" fontId="29" fillId="0" borderId="46" xfId="21" applyFont="1" applyBorder="1"/>
    <xf numFmtId="0" fontId="30" fillId="0" borderId="59" xfId="21" applyFont="1" applyBorder="1" applyAlignment="1">
      <alignment horizontal="center" vertical="center" wrapText="1"/>
    </xf>
    <xf numFmtId="0" fontId="29" fillId="0" borderId="60" xfId="21" applyFont="1" applyBorder="1"/>
    <xf numFmtId="0" fontId="28" fillId="8" borderId="64" xfId="21" applyFont="1" applyFill="1" applyBorder="1" applyAlignment="1">
      <alignment horizontal="center" vertical="center" wrapText="1"/>
    </xf>
    <xf numFmtId="0" fontId="29" fillId="0" borderId="65" xfId="21" applyFont="1" applyBorder="1"/>
    <xf numFmtId="0" fontId="29" fillId="0" borderId="66" xfId="21" applyFont="1" applyBorder="1"/>
    <xf numFmtId="0" fontId="28" fillId="7" borderId="39" xfId="21" applyFont="1" applyFill="1" applyBorder="1" applyAlignment="1">
      <alignment horizontal="center" vertical="center"/>
    </xf>
    <xf numFmtId="0" fontId="29" fillId="0" borderId="40" xfId="21" applyFont="1" applyBorder="1"/>
    <xf numFmtId="0" fontId="29" fillId="0" borderId="78" xfId="21" applyFont="1" applyBorder="1"/>
    <xf numFmtId="0" fontId="28" fillId="8" borderId="39" xfId="21" applyFont="1" applyFill="1" applyBorder="1" applyAlignment="1">
      <alignment horizontal="center" vertical="center" wrapText="1"/>
    </xf>
    <xf numFmtId="0" fontId="29" fillId="0" borderId="71" xfId="21" applyFont="1" applyBorder="1"/>
    <xf numFmtId="3" fontId="28" fillId="8" borderId="72" xfId="21" applyNumberFormat="1" applyFont="1" applyFill="1" applyBorder="1" applyAlignment="1">
      <alignment horizontal="center" vertical="center" wrapText="1"/>
    </xf>
    <xf numFmtId="168" fontId="28" fillId="8" borderId="72" xfId="21" applyNumberFormat="1" applyFont="1" applyFill="1" applyBorder="1" applyAlignment="1">
      <alignment horizontal="center" vertical="center" wrapText="1"/>
    </xf>
    <xf numFmtId="0" fontId="28" fillId="7" borderId="39" xfId="21" applyFont="1" applyFill="1" applyBorder="1" applyAlignment="1">
      <alignment horizontal="center" vertical="center" wrapText="1"/>
    </xf>
    <xf numFmtId="168" fontId="28" fillId="0" borderId="79" xfId="21" applyNumberFormat="1" applyFont="1" applyBorder="1" applyAlignment="1" applyProtection="1">
      <alignment horizontal="center" vertical="center"/>
    </xf>
    <xf numFmtId="0" fontId="28" fillId="0" borderId="40" xfId="21" applyFont="1" applyBorder="1" applyAlignment="1">
      <alignment horizontal="center" vertical="center" wrapText="1"/>
    </xf>
    <xf numFmtId="0" fontId="30" fillId="0" borderId="41" xfId="21" applyFont="1" applyBorder="1" applyAlignment="1">
      <alignment horizontal="center" vertical="center" wrapText="1"/>
    </xf>
    <xf numFmtId="0" fontId="28" fillId="8" borderId="55" xfId="21" applyFont="1" applyFill="1" applyBorder="1" applyAlignment="1">
      <alignment horizontal="center" vertical="center" wrapText="1"/>
    </xf>
    <xf numFmtId="0" fontId="29" fillId="0" borderId="56" xfId="21" applyFont="1" applyBorder="1"/>
    <xf numFmtId="0" fontId="29" fillId="0" borderId="57" xfId="21" applyFont="1" applyBorder="1"/>
    <xf numFmtId="0" fontId="24" fillId="6" borderId="1" xfId="0" applyFont="1" applyFill="1" applyBorder="1" applyAlignment="1" applyProtection="1">
      <alignment horizontal="center" vertical="center" wrapText="1"/>
    </xf>
    <xf numFmtId="0" fontId="26" fillId="6" borderId="2" xfId="0" applyFont="1" applyFill="1" applyBorder="1" applyAlignment="1" applyProtection="1">
      <alignment horizontal="center"/>
    </xf>
    <xf numFmtId="0" fontId="26" fillId="6" borderId="3" xfId="0" applyFont="1" applyFill="1" applyBorder="1" applyAlignment="1" applyProtection="1">
      <alignment horizontal="center"/>
    </xf>
    <xf numFmtId="0" fontId="26" fillId="6" borderId="4" xfId="0" applyFont="1" applyFill="1" applyBorder="1" applyAlignment="1" applyProtection="1">
      <alignment horizontal="center"/>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20"/>
    <cellStyle name="Moeda 2 3 2" xfId="22"/>
    <cellStyle name="Moeda 2 3 3" xfId="4"/>
    <cellStyle name="Moeda 3" xfId="16"/>
    <cellStyle name="Moeda 3 2" xfId="24"/>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1"/>
    <cellStyle name="Normal 5" xfId="3"/>
    <cellStyle name="Normal 6" xfId="43"/>
    <cellStyle name="Porcentagem" xfId="2" builtinId="5"/>
    <cellStyle name="Porcentagem 2" xfId="45"/>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4"/>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19"/>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3"/>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eia\94%20PREG&#213;ES\2021\SISTEMA%20DE%20REGISRTO%20DE%20PRE&#199;OS\PREG&#195;O%20SRP%20XX2021%20-%20LIMPEZA%20E%20CONSERVA&#199;&#195;O\PLANILHA%20DE%20CUSTOS%20PADR&#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4.9864000000000002E-5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6795556505021"/>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50" t="s">
        <v>0</v>
      </c>
      <c r="B1" s="350"/>
      <c r="C1" s="350"/>
      <c r="D1" s="350"/>
      <c r="E1" s="350"/>
      <c r="F1" s="350"/>
      <c r="G1" s="350"/>
    </row>
    <row r="3" spans="1:7">
      <c r="B3" s="3" t="s">
        <v>1</v>
      </c>
      <c r="C3" s="351"/>
      <c r="D3" s="351"/>
      <c r="E3" s="351"/>
      <c r="F3" s="351"/>
      <c r="G3" s="351"/>
    </row>
    <row r="4" spans="1:7">
      <c r="B4" s="3" t="s">
        <v>2</v>
      </c>
      <c r="C4" s="351"/>
      <c r="D4" s="351"/>
      <c r="E4" s="351"/>
      <c r="F4" s="351"/>
      <c r="G4" s="351"/>
    </row>
    <row r="5" spans="1:7">
      <c r="B5" s="3" t="s">
        <v>3</v>
      </c>
      <c r="C5" s="351"/>
      <c r="D5" s="351"/>
      <c r="E5" s="351"/>
      <c r="F5" s="351"/>
      <c r="G5" s="351"/>
    </row>
    <row r="7" spans="1:7">
      <c r="A7" s="305" t="s">
        <v>4</v>
      </c>
      <c r="B7" s="305"/>
      <c r="C7" s="305"/>
      <c r="D7" s="305"/>
      <c r="E7" s="305"/>
      <c r="F7" s="305"/>
      <c r="G7" s="305"/>
    </row>
    <row r="8" spans="1:7">
      <c r="A8" s="4" t="s">
        <v>5</v>
      </c>
      <c r="B8" s="327" t="s">
        <v>6</v>
      </c>
      <c r="C8" s="328"/>
      <c r="D8" s="328"/>
      <c r="E8" s="328"/>
      <c r="F8" s="329"/>
      <c r="G8" s="4"/>
    </row>
    <row r="9" spans="1:7">
      <c r="A9" s="4" t="s">
        <v>7</v>
      </c>
      <c r="B9" s="327" t="s">
        <v>8</v>
      </c>
      <c r="C9" s="328"/>
      <c r="D9" s="328"/>
      <c r="E9" s="328"/>
      <c r="F9" s="329"/>
      <c r="G9" s="4" t="s">
        <v>9</v>
      </c>
    </row>
    <row r="10" spans="1:7">
      <c r="A10" s="4" t="s">
        <v>10</v>
      </c>
      <c r="B10" s="327" t="s">
        <v>11</v>
      </c>
      <c r="C10" s="328"/>
      <c r="D10" s="328"/>
      <c r="E10" s="328"/>
      <c r="F10" s="329"/>
      <c r="G10" s="6" t="s">
        <v>12</v>
      </c>
    </row>
    <row r="11" spans="1:7">
      <c r="A11" s="4" t="s">
        <v>13</v>
      </c>
      <c r="B11" s="327" t="s">
        <v>14</v>
      </c>
      <c r="C11" s="328"/>
      <c r="D11" s="328"/>
      <c r="E11" s="328"/>
      <c r="F11" s="329"/>
      <c r="G11" s="4">
        <v>12</v>
      </c>
    </row>
    <row r="12" spans="1:7">
      <c r="G12" s="7"/>
    </row>
    <row r="13" spans="1:7">
      <c r="A13" s="326" t="s">
        <v>15</v>
      </c>
      <c r="B13" s="326"/>
      <c r="C13" s="326"/>
      <c r="D13" s="326"/>
      <c r="E13" s="326"/>
      <c r="F13" s="326"/>
      <c r="G13" s="326"/>
    </row>
    <row r="14" spans="1:7" ht="15" customHeight="1">
      <c r="A14" s="8" t="s">
        <v>16</v>
      </c>
      <c r="B14" s="5"/>
      <c r="C14" s="321" t="s">
        <v>17</v>
      </c>
      <c r="D14" s="322"/>
      <c r="E14" s="323"/>
      <c r="F14" s="305" t="s">
        <v>18</v>
      </c>
      <c r="G14" s="305"/>
    </row>
    <row r="15" spans="1:7" ht="13.5">
      <c r="A15" s="341" t="s">
        <v>19</v>
      </c>
      <c r="B15" s="341"/>
      <c r="C15" s="342" t="s">
        <v>20</v>
      </c>
      <c r="D15" s="343"/>
      <c r="E15" s="344"/>
      <c r="F15" s="345">
        <v>4</v>
      </c>
      <c r="G15" s="346"/>
    </row>
    <row r="17" spans="1:7">
      <c r="A17" s="306" t="s">
        <v>21</v>
      </c>
      <c r="B17" s="306"/>
      <c r="C17" s="306"/>
      <c r="D17" s="306"/>
      <c r="E17" s="306"/>
      <c r="F17" s="306"/>
      <c r="G17" s="306"/>
    </row>
    <row r="18" spans="1:7">
      <c r="B18" s="10"/>
      <c r="C18" s="10"/>
      <c r="D18" s="10"/>
      <c r="E18" s="10"/>
      <c r="F18" s="11"/>
      <c r="G18" s="10"/>
    </row>
    <row r="19" spans="1:7">
      <c r="A19" s="305" t="s">
        <v>22</v>
      </c>
      <c r="B19" s="305"/>
      <c r="C19" s="305"/>
      <c r="D19" s="305"/>
      <c r="E19" s="305"/>
      <c r="F19" s="305"/>
      <c r="G19" s="305"/>
    </row>
    <row r="20" spans="1:7">
      <c r="A20" s="4">
        <v>1</v>
      </c>
      <c r="B20" s="347" t="s">
        <v>23</v>
      </c>
      <c r="C20" s="348"/>
      <c r="D20" s="348"/>
      <c r="E20" s="349"/>
      <c r="F20" s="321" t="s">
        <v>24</v>
      </c>
      <c r="G20" s="323"/>
    </row>
    <row r="21" spans="1:7">
      <c r="A21" s="4">
        <v>2</v>
      </c>
      <c r="B21" s="327" t="s">
        <v>25</v>
      </c>
      <c r="C21" s="328"/>
      <c r="D21" s="328"/>
      <c r="E21" s="329"/>
      <c r="F21" s="335">
        <v>873.6</v>
      </c>
      <c r="G21" s="336"/>
    </row>
    <row r="22" spans="1:7">
      <c r="A22" s="4">
        <v>3</v>
      </c>
      <c r="B22" s="327" t="s">
        <v>26</v>
      </c>
      <c r="C22" s="328"/>
      <c r="D22" s="328"/>
      <c r="E22" s="329"/>
      <c r="F22" s="337" t="s">
        <v>27</v>
      </c>
      <c r="G22" s="338"/>
    </row>
    <row r="23" spans="1:7">
      <c r="A23" s="4">
        <v>4</v>
      </c>
      <c r="B23" s="327" t="s">
        <v>28</v>
      </c>
      <c r="C23" s="328"/>
      <c r="D23" s="328"/>
      <c r="E23" s="329"/>
      <c r="F23" s="339" t="s">
        <v>29</v>
      </c>
      <c r="G23" s="340"/>
    </row>
    <row r="24" spans="1:7">
      <c r="A24" s="10"/>
      <c r="B24" s="12"/>
      <c r="C24" s="12"/>
      <c r="D24" s="12"/>
      <c r="E24" s="12"/>
      <c r="F24" s="11"/>
      <c r="G24" s="13"/>
    </row>
    <row r="25" spans="1:7">
      <c r="A25" s="10"/>
      <c r="B25" s="316" t="s">
        <v>30</v>
      </c>
      <c r="C25" s="316"/>
      <c r="D25" s="316"/>
      <c r="E25" s="316"/>
      <c r="F25" s="316"/>
      <c r="G25" s="316"/>
    </row>
    <row r="26" spans="1:7">
      <c r="D26" s="67"/>
    </row>
    <row r="27" spans="1:7">
      <c r="B27" s="4">
        <v>1</v>
      </c>
      <c r="C27" s="305" t="s">
        <v>31</v>
      </c>
      <c r="D27" s="305"/>
      <c r="E27" s="305"/>
      <c r="F27" s="15" t="s">
        <v>32</v>
      </c>
      <c r="G27" s="16" t="s">
        <v>33</v>
      </c>
    </row>
    <row r="28" spans="1:7">
      <c r="B28" s="4" t="s">
        <v>5</v>
      </c>
      <c r="C28" s="304" t="s">
        <v>34</v>
      </c>
      <c r="D28" s="304"/>
      <c r="E28" s="304"/>
      <c r="F28" s="17">
        <v>100</v>
      </c>
      <c r="G28" s="18">
        <v>873.6</v>
      </c>
    </row>
    <row r="29" spans="1:7">
      <c r="B29" s="4" t="s">
        <v>7</v>
      </c>
      <c r="C29" s="304" t="s">
        <v>35</v>
      </c>
      <c r="D29" s="304"/>
      <c r="E29" s="304"/>
      <c r="F29" s="19"/>
      <c r="G29" s="17">
        <f>F29*G28</f>
        <v>0</v>
      </c>
    </row>
    <row r="30" spans="1:7">
      <c r="B30" s="4" t="s">
        <v>10</v>
      </c>
      <c r="C30" s="304" t="s">
        <v>36</v>
      </c>
      <c r="D30" s="304"/>
      <c r="E30" s="304"/>
      <c r="F30" s="19"/>
      <c r="G30" s="17">
        <v>0</v>
      </c>
    </row>
    <row r="31" spans="1:7">
      <c r="B31" s="4" t="s">
        <v>13</v>
      </c>
      <c r="C31" s="304" t="s">
        <v>37</v>
      </c>
      <c r="D31" s="304"/>
      <c r="E31" s="304"/>
      <c r="F31" s="19"/>
      <c r="G31" s="17">
        <v>0</v>
      </c>
    </row>
    <row r="32" spans="1:7">
      <c r="B32" s="4" t="s">
        <v>38</v>
      </c>
      <c r="C32" s="304" t="s">
        <v>39</v>
      </c>
      <c r="D32" s="304"/>
      <c r="E32" s="304"/>
      <c r="F32" s="19"/>
      <c r="G32" s="17">
        <v>0</v>
      </c>
    </row>
    <row r="33" spans="1:7">
      <c r="B33" s="4" t="s">
        <v>40</v>
      </c>
      <c r="C33" s="304" t="s">
        <v>41</v>
      </c>
      <c r="D33" s="304"/>
      <c r="E33" s="304"/>
      <c r="F33" s="19"/>
      <c r="G33" s="17">
        <v>0</v>
      </c>
    </row>
    <row r="34" spans="1:7">
      <c r="B34" s="4" t="s">
        <v>42</v>
      </c>
      <c r="C34" s="304" t="s">
        <v>43</v>
      </c>
      <c r="D34" s="304"/>
      <c r="E34" s="304"/>
      <c r="F34" s="19"/>
      <c r="G34" s="17">
        <v>0</v>
      </c>
    </row>
    <row r="35" spans="1:7">
      <c r="B35" s="4" t="s">
        <v>44</v>
      </c>
      <c r="C35" s="304" t="s">
        <v>45</v>
      </c>
      <c r="D35" s="304"/>
      <c r="E35" s="304"/>
      <c r="F35" s="19"/>
      <c r="G35" s="17">
        <f>F35*G28</f>
        <v>0</v>
      </c>
    </row>
    <row r="36" spans="1:7">
      <c r="B36" s="321" t="s">
        <v>46</v>
      </c>
      <c r="C36" s="322"/>
      <c r="D36" s="322"/>
      <c r="E36" s="322"/>
      <c r="F36" s="323"/>
      <c r="G36" s="15">
        <f>SUM(G28:G35)</f>
        <v>873.6</v>
      </c>
    </row>
    <row r="38" spans="1:7" ht="15.75" customHeight="1">
      <c r="A38" s="331" t="s">
        <v>47</v>
      </c>
      <c r="B38" s="331"/>
      <c r="C38" s="331"/>
      <c r="D38" s="331"/>
      <c r="E38" s="331"/>
      <c r="F38" s="331"/>
      <c r="G38" s="10"/>
    </row>
    <row r="40" spans="1:7" ht="15.75" customHeight="1">
      <c r="A40" s="4">
        <v>2</v>
      </c>
      <c r="B40" s="321" t="s">
        <v>48</v>
      </c>
      <c r="C40" s="322"/>
      <c r="D40" s="322"/>
      <c r="E40" s="323"/>
      <c r="F40" s="15" t="s">
        <v>33</v>
      </c>
    </row>
    <row r="41" spans="1:7" ht="15.75" customHeight="1">
      <c r="A41" s="4" t="s">
        <v>5</v>
      </c>
      <c r="B41" s="327" t="s">
        <v>49</v>
      </c>
      <c r="C41" s="328"/>
      <c r="D41" s="20">
        <v>12</v>
      </c>
      <c r="E41" s="21">
        <v>6</v>
      </c>
      <c r="F41" s="22">
        <f>IF(((E41*15-G36*6%)&lt;=0),"0,00",E41*15-G36*6%)</f>
        <v>37.58</v>
      </c>
    </row>
    <row r="42" spans="1:7">
      <c r="A42" s="4" t="s">
        <v>7</v>
      </c>
      <c r="B42" s="327" t="s">
        <v>50</v>
      </c>
      <c r="C42" s="328"/>
      <c r="D42" s="20"/>
      <c r="E42" s="21">
        <v>20</v>
      </c>
      <c r="F42" s="23">
        <f>E42*22</f>
        <v>440</v>
      </c>
      <c r="G42" s="24"/>
    </row>
    <row r="43" spans="1:7">
      <c r="A43" s="4" t="s">
        <v>10</v>
      </c>
      <c r="B43" s="327" t="s">
        <v>51</v>
      </c>
      <c r="C43" s="328"/>
      <c r="D43" s="328"/>
      <c r="E43" s="329"/>
      <c r="F43" s="23">
        <v>150</v>
      </c>
      <c r="G43" s="24"/>
    </row>
    <row r="44" spans="1:7">
      <c r="A44" s="4" t="s">
        <v>13</v>
      </c>
      <c r="B44" s="327" t="s">
        <v>52</v>
      </c>
      <c r="C44" s="328"/>
      <c r="D44" s="328"/>
      <c r="E44" s="329"/>
      <c r="F44" s="26">
        <v>0</v>
      </c>
      <c r="G44" s="24"/>
    </row>
    <row r="45" spans="1:7">
      <c r="A45" s="4" t="s">
        <v>38</v>
      </c>
      <c r="B45" s="327" t="s">
        <v>53</v>
      </c>
      <c r="C45" s="328"/>
      <c r="D45" s="328"/>
      <c r="E45" s="329"/>
      <c r="F45" s="23">
        <v>2.5</v>
      </c>
      <c r="G45" s="24"/>
    </row>
    <row r="46" spans="1:7">
      <c r="A46" s="4" t="s">
        <v>42</v>
      </c>
      <c r="B46" s="327" t="s">
        <v>54</v>
      </c>
      <c r="C46" s="328"/>
      <c r="D46" s="328"/>
      <c r="E46" s="329"/>
      <c r="F46" s="23">
        <v>4.5</v>
      </c>
      <c r="G46" s="24"/>
    </row>
    <row r="47" spans="1:7">
      <c r="A47" s="4" t="s">
        <v>44</v>
      </c>
      <c r="B47" s="332" t="s">
        <v>55</v>
      </c>
      <c r="C47" s="333"/>
      <c r="D47" s="333"/>
      <c r="E47" s="334"/>
      <c r="F47" s="25">
        <v>0</v>
      </c>
      <c r="G47" s="24"/>
    </row>
    <row r="48" spans="1:7">
      <c r="A48" s="305" t="s">
        <v>56</v>
      </c>
      <c r="B48" s="305"/>
      <c r="C48" s="305"/>
      <c r="D48" s="305"/>
      <c r="E48" s="305"/>
      <c r="F48" s="27">
        <f>SUM(F41:F47)</f>
        <v>634.58000000000004</v>
      </c>
      <c r="G48" s="24"/>
    </row>
    <row r="49" spans="1:7">
      <c r="G49" s="24"/>
    </row>
    <row r="50" spans="1:7" ht="15.75" customHeight="1">
      <c r="A50" s="331" t="s">
        <v>57</v>
      </c>
      <c r="B50" s="331"/>
      <c r="C50" s="331"/>
      <c r="D50" s="331"/>
      <c r="E50" s="331"/>
      <c r="F50" s="331"/>
      <c r="G50" s="24"/>
    </row>
    <row r="51" spans="1:7">
      <c r="G51" s="24"/>
    </row>
    <row r="52" spans="1:7">
      <c r="A52" s="4">
        <v>3</v>
      </c>
      <c r="B52" s="305" t="s">
        <v>58</v>
      </c>
      <c r="C52" s="305"/>
      <c r="D52" s="305"/>
      <c r="E52" s="305"/>
      <c r="F52" s="15" t="s">
        <v>33</v>
      </c>
      <c r="G52" s="7"/>
    </row>
    <row r="53" spans="1:7">
      <c r="A53" s="4" t="s">
        <v>5</v>
      </c>
      <c r="B53" s="304" t="s">
        <v>59</v>
      </c>
      <c r="C53" s="304"/>
      <c r="D53" s="304"/>
      <c r="E53" s="304"/>
      <c r="F53" s="22" t="e">
        <f>#REF!</f>
        <v>#REF!</v>
      </c>
      <c r="G53" s="10"/>
    </row>
    <row r="54" spans="1:7">
      <c r="A54" s="4" t="s">
        <v>7</v>
      </c>
      <c r="B54" s="327" t="s">
        <v>60</v>
      </c>
      <c r="C54" s="328"/>
      <c r="D54" s="328"/>
      <c r="E54" s="329"/>
      <c r="F54" s="17">
        <v>0</v>
      </c>
      <c r="G54" s="12"/>
    </row>
    <row r="55" spans="1:7">
      <c r="A55" s="4" t="s">
        <v>10</v>
      </c>
      <c r="B55" s="304" t="s">
        <v>61</v>
      </c>
      <c r="C55" s="304"/>
      <c r="D55" s="304"/>
      <c r="E55" s="304"/>
      <c r="F55" s="17">
        <v>0</v>
      </c>
      <c r="G55" s="12"/>
    </row>
    <row r="56" spans="1:7">
      <c r="A56" s="4" t="s">
        <v>13</v>
      </c>
      <c r="B56" s="304" t="s">
        <v>62</v>
      </c>
      <c r="C56" s="304"/>
      <c r="D56" s="304"/>
      <c r="E56" s="304"/>
      <c r="F56" s="17">
        <v>0</v>
      </c>
      <c r="G56" s="10"/>
    </row>
    <row r="57" spans="1:7">
      <c r="A57" s="305" t="s">
        <v>63</v>
      </c>
      <c r="B57" s="305"/>
      <c r="C57" s="305"/>
      <c r="D57" s="305"/>
      <c r="E57" s="305"/>
      <c r="F57" s="15" t="e">
        <f>SUM(F53:F56)</f>
        <v>#REF!</v>
      </c>
      <c r="G57" s="12"/>
    </row>
    <row r="58" spans="1:7">
      <c r="G58" s="10"/>
    </row>
    <row r="59" spans="1:7">
      <c r="A59" s="306" t="s">
        <v>64</v>
      </c>
      <c r="B59" s="306"/>
      <c r="C59" s="306"/>
      <c r="D59" s="306"/>
      <c r="E59" s="306"/>
      <c r="F59" s="306"/>
    </row>
    <row r="60" spans="1:7">
      <c r="A60" s="9"/>
      <c r="B60" s="9"/>
      <c r="C60" s="9"/>
      <c r="D60" s="9"/>
      <c r="E60" s="9"/>
      <c r="F60" s="9"/>
    </row>
    <row r="61" spans="1:7">
      <c r="A61" s="9"/>
      <c r="B61" s="306" t="s">
        <v>65</v>
      </c>
      <c r="C61" s="306"/>
      <c r="D61" s="306"/>
      <c r="E61" s="306"/>
      <c r="F61" s="306"/>
    </row>
    <row r="62" spans="1:7">
      <c r="B62" s="1" t="s">
        <v>66</v>
      </c>
    </row>
    <row r="63" spans="1:7">
      <c r="A63" s="5" t="s">
        <v>67</v>
      </c>
      <c r="B63" s="305" t="s">
        <v>68</v>
      </c>
      <c r="C63" s="305"/>
      <c r="D63" s="305"/>
      <c r="E63" s="5" t="s">
        <v>32</v>
      </c>
      <c r="F63" s="15" t="s">
        <v>33</v>
      </c>
    </row>
    <row r="64" spans="1:7">
      <c r="A64" s="4" t="s">
        <v>5</v>
      </c>
      <c r="B64" s="304" t="s">
        <v>69</v>
      </c>
      <c r="C64" s="304"/>
      <c r="D64" s="304"/>
      <c r="E64" s="28">
        <v>0.2</v>
      </c>
      <c r="F64" s="17">
        <f t="shared" ref="F64:F71" si="0">E64*$G$36</f>
        <v>174.72</v>
      </c>
      <c r="G64" s="275"/>
    </row>
    <row r="65" spans="1:9">
      <c r="A65" s="4" t="s">
        <v>7</v>
      </c>
      <c r="B65" s="304" t="s">
        <v>70</v>
      </c>
      <c r="C65" s="304"/>
      <c r="D65" s="304"/>
      <c r="E65" s="28">
        <v>1.4999999999999999E-2</v>
      </c>
      <c r="F65" s="17">
        <f t="shared" si="0"/>
        <v>13.1</v>
      </c>
      <c r="G65" s="275"/>
    </row>
    <row r="66" spans="1:9">
      <c r="A66" s="4" t="s">
        <v>10</v>
      </c>
      <c r="B66" s="304" t="s">
        <v>71</v>
      </c>
      <c r="C66" s="304"/>
      <c r="D66" s="304"/>
      <c r="E66" s="28">
        <v>0.01</v>
      </c>
      <c r="F66" s="17">
        <f t="shared" si="0"/>
        <v>8.74</v>
      </c>
      <c r="G66" s="275"/>
    </row>
    <row r="67" spans="1:9">
      <c r="A67" s="4" t="s">
        <v>13</v>
      </c>
      <c r="B67" s="304" t="s">
        <v>72</v>
      </c>
      <c r="C67" s="304"/>
      <c r="D67" s="304"/>
      <c r="E67" s="28">
        <v>2E-3</v>
      </c>
      <c r="F67" s="17">
        <f t="shared" si="0"/>
        <v>1.75</v>
      </c>
      <c r="G67" s="275"/>
    </row>
    <row r="68" spans="1:9">
      <c r="A68" s="4" t="s">
        <v>38</v>
      </c>
      <c r="B68" s="304" t="s">
        <v>73</v>
      </c>
      <c r="C68" s="304"/>
      <c r="D68" s="304"/>
      <c r="E68" s="28">
        <v>2.5000000000000001E-2</v>
      </c>
      <c r="F68" s="17">
        <f t="shared" si="0"/>
        <v>21.84</v>
      </c>
      <c r="G68" s="275"/>
    </row>
    <row r="69" spans="1:9">
      <c r="A69" s="4" t="s">
        <v>40</v>
      </c>
      <c r="B69" s="304" t="s">
        <v>74</v>
      </c>
      <c r="C69" s="304"/>
      <c r="D69" s="304"/>
      <c r="E69" s="28">
        <v>0.08</v>
      </c>
      <c r="F69" s="17">
        <f t="shared" si="0"/>
        <v>69.89</v>
      </c>
      <c r="G69" s="275"/>
    </row>
    <row r="70" spans="1:9">
      <c r="A70" s="4" t="s">
        <v>42</v>
      </c>
      <c r="B70" s="330" t="s">
        <v>75</v>
      </c>
      <c r="C70" s="330"/>
      <c r="D70" s="330"/>
      <c r="E70" s="28">
        <v>0.03</v>
      </c>
      <c r="F70" s="17">
        <f t="shared" si="0"/>
        <v>26.21</v>
      </c>
      <c r="G70" s="275"/>
    </row>
    <row r="71" spans="1:9">
      <c r="A71" s="4" t="s">
        <v>44</v>
      </c>
      <c r="B71" s="304" t="s">
        <v>76</v>
      </c>
      <c r="C71" s="304"/>
      <c r="D71" s="304"/>
      <c r="E71" s="28">
        <v>6.0000000000000001E-3</v>
      </c>
      <c r="F71" s="17">
        <f t="shared" si="0"/>
        <v>5.24</v>
      </c>
      <c r="G71" s="275"/>
    </row>
    <row r="72" spans="1:9">
      <c r="A72" s="305" t="s">
        <v>77</v>
      </c>
      <c r="B72" s="305"/>
      <c r="C72" s="305"/>
      <c r="D72" s="305"/>
      <c r="E72" s="29">
        <f>SUM(E64:E71)</f>
        <v>0.36799999999999999</v>
      </c>
      <c r="F72" s="15">
        <f>SUM(F64:F71)</f>
        <v>321.49</v>
      </c>
    </row>
    <row r="73" spans="1:9">
      <c r="A73" s="14"/>
      <c r="B73" s="14"/>
      <c r="C73" s="14"/>
      <c r="D73" s="14"/>
      <c r="E73" s="30"/>
      <c r="F73" s="31"/>
    </row>
    <row r="74" spans="1:9">
      <c r="A74" s="325" t="s">
        <v>78</v>
      </c>
      <c r="B74" s="325"/>
      <c r="C74" s="325"/>
      <c r="D74" s="325"/>
      <c r="E74" s="325"/>
      <c r="F74" s="325"/>
    </row>
    <row r="75" spans="1:9">
      <c r="B75" s="10"/>
      <c r="C75" s="10"/>
      <c r="D75" s="10"/>
      <c r="E75" s="32"/>
    </row>
    <row r="76" spans="1:9">
      <c r="A76" s="5" t="s">
        <v>79</v>
      </c>
      <c r="B76" s="305" t="s">
        <v>80</v>
      </c>
      <c r="C76" s="305"/>
      <c r="D76" s="305"/>
      <c r="E76" s="5" t="s">
        <v>32</v>
      </c>
      <c r="F76" s="15" t="s">
        <v>33</v>
      </c>
    </row>
    <row r="77" spans="1:9">
      <c r="A77" s="4" t="s">
        <v>5</v>
      </c>
      <c r="B77" s="304" t="s">
        <v>80</v>
      </c>
      <c r="C77" s="304"/>
      <c r="D77" s="304"/>
      <c r="E77" s="28">
        <v>8.3299999999999999E-2</v>
      </c>
      <c r="F77" s="17">
        <f>E77*$G$36</f>
        <v>72.77</v>
      </c>
      <c r="G77" s="33"/>
    </row>
    <row r="78" spans="1:9">
      <c r="A78" s="305" t="s">
        <v>81</v>
      </c>
      <c r="B78" s="305"/>
      <c r="C78" s="305"/>
      <c r="D78" s="305"/>
      <c r="E78" s="29">
        <f>E77</f>
        <v>8.3299999999999999E-2</v>
      </c>
      <c r="F78" s="15">
        <f>SUM(F77:F77)</f>
        <v>72.77</v>
      </c>
    </row>
    <row r="79" spans="1:9">
      <c r="A79" s="34" t="s">
        <v>7</v>
      </c>
      <c r="B79" s="311" t="s">
        <v>82</v>
      </c>
      <c r="C79" s="311"/>
      <c r="D79" s="311"/>
      <c r="E79" s="28">
        <f>E72*E77</f>
        <v>3.0700000000000002E-2</v>
      </c>
      <c r="F79" s="35">
        <f>F78*E72</f>
        <v>26.78</v>
      </c>
      <c r="G79" s="33"/>
      <c r="H79" s="33"/>
      <c r="I79" s="33"/>
    </row>
    <row r="80" spans="1:9">
      <c r="A80" s="321" t="s">
        <v>77</v>
      </c>
      <c r="B80" s="322"/>
      <c r="C80" s="322"/>
      <c r="D80" s="322"/>
      <c r="E80" s="29">
        <f>SUM(E78:E79)</f>
        <v>0.114</v>
      </c>
      <c r="F80" s="15">
        <f>SUM(F78:F79)</f>
        <v>99.55</v>
      </c>
      <c r="G80" s="33"/>
    </row>
    <row r="81" spans="1:8">
      <c r="B81" s="10"/>
      <c r="C81" s="10"/>
      <c r="D81" s="10"/>
      <c r="E81" s="32"/>
    </row>
    <row r="82" spans="1:8">
      <c r="A82" s="5" t="s">
        <v>83</v>
      </c>
      <c r="B82" s="326" t="s">
        <v>84</v>
      </c>
      <c r="C82" s="326"/>
      <c r="D82" s="326"/>
      <c r="E82" s="5" t="s">
        <v>32</v>
      </c>
      <c r="F82" s="15" t="s">
        <v>33</v>
      </c>
    </row>
    <row r="83" spans="1:8">
      <c r="A83" s="4" t="s">
        <v>5</v>
      </c>
      <c r="B83" s="327" t="s">
        <v>85</v>
      </c>
      <c r="C83" s="328"/>
      <c r="D83" s="329"/>
      <c r="E83" s="28">
        <v>2.0000000000000001E-4</v>
      </c>
      <c r="F83" s="17">
        <f>E83*$G$36</f>
        <v>0.17</v>
      </c>
    </row>
    <row r="84" spans="1:8" ht="32.25" customHeight="1">
      <c r="A84" s="34" t="s">
        <v>7</v>
      </c>
      <c r="B84" s="311" t="s">
        <v>86</v>
      </c>
      <c r="C84" s="311"/>
      <c r="D84" s="311"/>
      <c r="E84" s="36">
        <f>E83*E72</f>
        <v>1E-4</v>
      </c>
      <c r="F84" s="35">
        <f>F83*E72</f>
        <v>0.06</v>
      </c>
    </row>
    <row r="85" spans="1:8">
      <c r="A85" s="321" t="s">
        <v>77</v>
      </c>
      <c r="B85" s="322"/>
      <c r="C85" s="322"/>
      <c r="D85" s="323"/>
      <c r="E85" s="29">
        <f>SUM(E83:E84)</f>
        <v>2.9999999999999997E-4</v>
      </c>
      <c r="F85" s="15">
        <f>SUM(F83:F84)</f>
        <v>0.23</v>
      </c>
    </row>
    <row r="87" spans="1:8">
      <c r="A87" s="316" t="s">
        <v>87</v>
      </c>
      <c r="B87" s="316"/>
      <c r="C87" s="316"/>
      <c r="D87" s="316"/>
      <c r="E87" s="316"/>
      <c r="F87" s="316"/>
    </row>
    <row r="88" spans="1:8">
      <c r="G88" s="37"/>
    </row>
    <row r="89" spans="1:8">
      <c r="A89" s="5" t="s">
        <v>88</v>
      </c>
      <c r="B89" s="305" t="s">
        <v>89</v>
      </c>
      <c r="C89" s="305"/>
      <c r="D89" s="305"/>
      <c r="E89" s="5" t="s">
        <v>32</v>
      </c>
      <c r="F89" s="15" t="s">
        <v>33</v>
      </c>
    </row>
    <row r="90" spans="1:8">
      <c r="A90" s="34" t="s">
        <v>5</v>
      </c>
      <c r="B90" s="276" t="s">
        <v>90</v>
      </c>
      <c r="C90" s="276"/>
      <c r="D90" s="276"/>
      <c r="E90" s="36">
        <v>4.1999999999999997E-3</v>
      </c>
      <c r="F90" s="35">
        <f>E90*$G$36</f>
        <v>3.67</v>
      </c>
      <c r="G90" s="33"/>
      <c r="H90" s="33"/>
    </row>
    <row r="91" spans="1:8">
      <c r="A91" s="34" t="s">
        <v>7</v>
      </c>
      <c r="B91" s="311" t="s">
        <v>91</v>
      </c>
      <c r="C91" s="311"/>
      <c r="D91" s="311"/>
      <c r="E91" s="36">
        <v>2.9999999999999997E-4</v>
      </c>
      <c r="F91" s="35">
        <f>F90*E69</f>
        <v>0.28999999999999998</v>
      </c>
      <c r="G91" s="10"/>
    </row>
    <row r="92" spans="1:8" ht="12.75" customHeight="1">
      <c r="A92" s="34" t="s">
        <v>10</v>
      </c>
      <c r="B92" s="324" t="s">
        <v>92</v>
      </c>
      <c r="C92" s="324"/>
      <c r="D92" s="324"/>
      <c r="E92" s="36">
        <v>4.3499999999999997E-2</v>
      </c>
      <c r="F92" s="35">
        <f>E92*$G$36</f>
        <v>38</v>
      </c>
      <c r="G92" s="10"/>
    </row>
    <row r="93" spans="1:8">
      <c r="A93" s="34" t="s">
        <v>13</v>
      </c>
      <c r="B93" s="311" t="s">
        <v>93</v>
      </c>
      <c r="C93" s="311"/>
      <c r="D93" s="311"/>
      <c r="E93" s="36">
        <v>1.9400000000000001E-2</v>
      </c>
      <c r="F93" s="35">
        <f>E93*$G$36</f>
        <v>16.95</v>
      </c>
      <c r="G93" s="7"/>
    </row>
    <row r="94" spans="1:8">
      <c r="A94" s="34" t="s">
        <v>38</v>
      </c>
      <c r="B94" s="311" t="s">
        <v>94</v>
      </c>
      <c r="C94" s="311"/>
      <c r="D94" s="311"/>
      <c r="E94" s="36">
        <f>E93*E72</f>
        <v>7.1000000000000004E-3</v>
      </c>
      <c r="F94" s="35">
        <f>E94*$G$36</f>
        <v>6.2</v>
      </c>
      <c r="G94" s="7"/>
    </row>
    <row r="95" spans="1:8" ht="12.75" customHeight="1">
      <c r="A95" s="34" t="s">
        <v>40</v>
      </c>
      <c r="B95" s="313" t="s">
        <v>95</v>
      </c>
      <c r="C95" s="314"/>
      <c r="D95" s="315"/>
      <c r="E95" s="38">
        <v>6.4999999999999997E-3</v>
      </c>
      <c r="F95" s="35">
        <f>E95*$G$36</f>
        <v>5.68</v>
      </c>
      <c r="G95" s="7"/>
    </row>
    <row r="96" spans="1:8">
      <c r="A96" s="277" t="s">
        <v>77</v>
      </c>
      <c r="B96" s="278"/>
      <c r="C96" s="278"/>
      <c r="D96" s="279"/>
      <c r="E96" s="39">
        <f>SUM(E90:E95)</f>
        <v>8.1000000000000003E-2</v>
      </c>
      <c r="F96" s="40">
        <f>SUM(F90:F95)</f>
        <v>70.790000000000006</v>
      </c>
      <c r="G96" s="10"/>
    </row>
    <row r="98" spans="1:7">
      <c r="A98" s="316" t="s">
        <v>96</v>
      </c>
      <c r="B98" s="316"/>
      <c r="C98" s="316"/>
      <c r="D98" s="316"/>
      <c r="E98" s="316"/>
      <c r="F98" s="316"/>
    </row>
    <row r="100" spans="1:7" ht="30.75" customHeight="1">
      <c r="A100" s="41" t="s">
        <v>97</v>
      </c>
      <c r="B100" s="317" t="s">
        <v>98</v>
      </c>
      <c r="C100" s="318"/>
      <c r="D100" s="319"/>
      <c r="E100" s="41" t="s">
        <v>32</v>
      </c>
      <c r="F100" s="40" t="s">
        <v>33</v>
      </c>
    </row>
    <row r="101" spans="1:7">
      <c r="A101" s="34" t="s">
        <v>5</v>
      </c>
      <c r="B101" s="320" t="s">
        <v>99</v>
      </c>
      <c r="C101" s="320"/>
      <c r="D101" s="320"/>
      <c r="E101" s="46">
        <v>0.121</v>
      </c>
      <c r="F101" s="35">
        <f t="shared" ref="F101:F106" si="1">E101*$G$36</f>
        <v>105.71</v>
      </c>
      <c r="G101" s="43"/>
    </row>
    <row r="102" spans="1:7">
      <c r="A102" s="34" t="s">
        <v>7</v>
      </c>
      <c r="B102" s="311" t="s">
        <v>100</v>
      </c>
      <c r="C102" s="311"/>
      <c r="D102" s="311"/>
      <c r="E102" s="38">
        <v>1.66E-2</v>
      </c>
      <c r="F102" s="35">
        <f t="shared" si="1"/>
        <v>14.5</v>
      </c>
    </row>
    <row r="103" spans="1:7">
      <c r="A103" s="34" t="s">
        <v>10</v>
      </c>
      <c r="B103" s="295" t="s">
        <v>101</v>
      </c>
      <c r="C103" s="296"/>
      <c r="D103" s="297"/>
      <c r="E103" s="36">
        <v>2.0000000000000001E-4</v>
      </c>
      <c r="F103" s="35">
        <f t="shared" si="1"/>
        <v>0.17</v>
      </c>
    </row>
    <row r="104" spans="1:7">
      <c r="A104" s="34" t="s">
        <v>13</v>
      </c>
      <c r="B104" s="295" t="s">
        <v>102</v>
      </c>
      <c r="C104" s="296"/>
      <c r="D104" s="297"/>
      <c r="E104" s="38">
        <v>2.8E-3</v>
      </c>
      <c r="F104" s="35">
        <f t="shared" si="1"/>
        <v>2.4500000000000002</v>
      </c>
      <c r="G104" s="32"/>
    </row>
    <row r="105" spans="1:7">
      <c r="A105" s="34" t="s">
        <v>38</v>
      </c>
      <c r="B105" s="311" t="s">
        <v>103</v>
      </c>
      <c r="C105" s="311"/>
      <c r="D105" s="311"/>
      <c r="E105" s="38">
        <v>2.9999999999999997E-4</v>
      </c>
      <c r="F105" s="35">
        <f t="shared" si="1"/>
        <v>0.26</v>
      </c>
      <c r="G105" s="32"/>
    </row>
    <row r="106" spans="1:7">
      <c r="A106" s="34" t="s">
        <v>40</v>
      </c>
      <c r="B106" s="295" t="s">
        <v>104</v>
      </c>
      <c r="C106" s="296"/>
      <c r="D106" s="297"/>
      <c r="E106" s="36">
        <v>0</v>
      </c>
      <c r="F106" s="35">
        <f t="shared" si="1"/>
        <v>0</v>
      </c>
    </row>
    <row r="107" spans="1:7">
      <c r="A107" s="308" t="s">
        <v>81</v>
      </c>
      <c r="B107" s="309"/>
      <c r="C107" s="309"/>
      <c r="D107" s="310"/>
      <c r="E107" s="45">
        <f>SUM(E101:E106)</f>
        <v>0.1409</v>
      </c>
      <c r="F107" s="40">
        <f>SUM(F101:F106)</f>
        <v>123.09</v>
      </c>
    </row>
    <row r="108" spans="1:7">
      <c r="A108" s="34" t="s">
        <v>42</v>
      </c>
      <c r="B108" s="311" t="s">
        <v>105</v>
      </c>
      <c r="C108" s="311"/>
      <c r="D108" s="311"/>
      <c r="E108" s="46">
        <f>E107*E72</f>
        <v>5.1900000000000002E-2</v>
      </c>
      <c r="F108" s="35">
        <f>F107*E72</f>
        <v>45.3</v>
      </c>
    </row>
    <row r="109" spans="1:7">
      <c r="A109" s="277" t="s">
        <v>77</v>
      </c>
      <c r="B109" s="278"/>
      <c r="C109" s="278"/>
      <c r="D109" s="278"/>
      <c r="E109" s="39">
        <f>E107+E108</f>
        <v>0.1928</v>
      </c>
      <c r="F109" s="40">
        <f>SUM(F107:F108)</f>
        <v>168.39</v>
      </c>
    </row>
    <row r="111" spans="1:7">
      <c r="A111" s="306" t="s">
        <v>106</v>
      </c>
      <c r="B111" s="306"/>
      <c r="C111" s="306"/>
      <c r="D111" s="306"/>
      <c r="E111" s="306"/>
      <c r="F111" s="306"/>
    </row>
    <row r="112" spans="1:7">
      <c r="A112" s="47"/>
    </row>
    <row r="113" spans="1:7">
      <c r="A113" s="5">
        <v>4</v>
      </c>
      <c r="B113" s="305" t="s">
        <v>107</v>
      </c>
      <c r="C113" s="305"/>
      <c r="D113" s="305"/>
      <c r="E113" s="305"/>
      <c r="F113" s="17" t="s">
        <v>33</v>
      </c>
    </row>
    <row r="114" spans="1:7">
      <c r="A114" s="3" t="s">
        <v>67</v>
      </c>
      <c r="B114" s="304" t="s">
        <v>108</v>
      </c>
      <c r="C114" s="304"/>
      <c r="D114" s="304"/>
      <c r="E114" s="304"/>
      <c r="F114" s="17">
        <f>F72</f>
        <v>321.49</v>
      </c>
    </row>
    <row r="115" spans="1:7">
      <c r="A115" s="3" t="s">
        <v>79</v>
      </c>
      <c r="B115" s="312" t="s">
        <v>109</v>
      </c>
      <c r="C115" s="312"/>
      <c r="D115" s="312"/>
      <c r="E115" s="312"/>
      <c r="F115" s="17">
        <f>F80</f>
        <v>99.55</v>
      </c>
    </row>
    <row r="116" spans="1:7">
      <c r="A116" s="3" t="s">
        <v>83</v>
      </c>
      <c r="B116" s="304" t="s">
        <v>110</v>
      </c>
      <c r="C116" s="304"/>
      <c r="D116" s="304"/>
      <c r="E116" s="304"/>
      <c r="F116" s="17">
        <f>F85</f>
        <v>0.23</v>
      </c>
    </row>
    <row r="117" spans="1:7">
      <c r="A117" s="3" t="s">
        <v>88</v>
      </c>
      <c r="B117" s="304" t="s">
        <v>111</v>
      </c>
      <c r="C117" s="304"/>
      <c r="D117" s="304"/>
      <c r="E117" s="304"/>
      <c r="F117" s="17">
        <f>F96</f>
        <v>70.790000000000006</v>
      </c>
    </row>
    <row r="118" spans="1:7">
      <c r="A118" s="3" t="s">
        <v>97</v>
      </c>
      <c r="B118" s="304" t="s">
        <v>112</v>
      </c>
      <c r="C118" s="304"/>
      <c r="D118" s="304"/>
      <c r="E118" s="304"/>
      <c r="F118" s="17">
        <f>F109</f>
        <v>168.39</v>
      </c>
    </row>
    <row r="119" spans="1:7">
      <c r="A119" s="3" t="s">
        <v>113</v>
      </c>
      <c r="B119" s="304" t="s">
        <v>55</v>
      </c>
      <c r="C119" s="304"/>
      <c r="D119" s="304"/>
      <c r="E119" s="304"/>
      <c r="F119" s="17"/>
    </row>
    <row r="120" spans="1:7">
      <c r="A120" s="305" t="s">
        <v>77</v>
      </c>
      <c r="B120" s="305"/>
      <c r="C120" s="305"/>
      <c r="D120" s="305"/>
      <c r="E120" s="305"/>
      <c r="F120" s="15">
        <f>SUM(F114:F119)</f>
        <v>660.45</v>
      </c>
    </row>
    <row r="122" spans="1:7">
      <c r="A122" s="306" t="s">
        <v>114</v>
      </c>
      <c r="B122" s="306"/>
      <c r="C122" s="306"/>
      <c r="D122" s="306"/>
      <c r="E122" s="306"/>
      <c r="F122" s="306"/>
      <c r="G122" s="48"/>
    </row>
    <row r="124" spans="1:7">
      <c r="A124" s="5">
        <v>5</v>
      </c>
      <c r="B124" s="305" t="s">
        <v>115</v>
      </c>
      <c r="C124" s="305"/>
      <c r="D124" s="305"/>
      <c r="E124" s="5" t="s">
        <v>32</v>
      </c>
      <c r="F124" s="15" t="s">
        <v>33</v>
      </c>
    </row>
    <row r="125" spans="1:7">
      <c r="A125" s="34" t="s">
        <v>5</v>
      </c>
      <c r="B125" s="307" t="s">
        <v>116</v>
      </c>
      <c r="C125" s="307"/>
      <c r="D125" s="307"/>
      <c r="E125" s="46">
        <v>0.03</v>
      </c>
      <c r="F125" s="35" t="e">
        <f>E125*($G$36+$F$48+$F$57+$F$120)</f>
        <v>#REF!</v>
      </c>
    </row>
    <row r="126" spans="1:7">
      <c r="A126" s="34" t="s">
        <v>7</v>
      </c>
      <c r="B126" s="301" t="s">
        <v>117</v>
      </c>
      <c r="C126" s="302"/>
      <c r="D126" s="302"/>
      <c r="E126" s="49">
        <f>E127+E128+E129</f>
        <v>0.14249999999999999</v>
      </c>
      <c r="F126" s="40" t="e">
        <f>SUM(F127:F129)</f>
        <v>#REF!</v>
      </c>
    </row>
    <row r="127" spans="1:7">
      <c r="A127" s="34" t="s">
        <v>118</v>
      </c>
      <c r="B127" s="295" t="s">
        <v>119</v>
      </c>
      <c r="C127" s="296"/>
      <c r="D127" s="297"/>
      <c r="E127" s="36">
        <v>7.5999999999999998E-2</v>
      </c>
      <c r="F127" s="35" t="e">
        <f>E127*(G36+F48+F57+F120+F125+F131)/(1-E126)</f>
        <v>#REF!</v>
      </c>
    </row>
    <row r="128" spans="1:7">
      <c r="A128" s="34" t="s">
        <v>120</v>
      </c>
      <c r="B128" s="295" t="s">
        <v>121</v>
      </c>
      <c r="C128" s="296"/>
      <c r="D128" s="297"/>
      <c r="E128" s="36">
        <v>1.6500000000000001E-2</v>
      </c>
      <c r="F128" s="35" t="e">
        <f>E128*(G36+F48+F57+F120+F125+F131)/(1-E126)</f>
        <v>#REF!</v>
      </c>
    </row>
    <row r="129" spans="1:8">
      <c r="A129" s="34" t="s">
        <v>122</v>
      </c>
      <c r="B129" s="298" t="s">
        <v>123</v>
      </c>
      <c r="C129" s="299"/>
      <c r="D129" s="300"/>
      <c r="E129" s="36">
        <v>0.05</v>
      </c>
      <c r="F129" s="35" t="e">
        <f>E129*(G36+F48+F57+F120+F125+F131)/(1-E126)</f>
        <v>#REF!</v>
      </c>
    </row>
    <row r="130" spans="1:8">
      <c r="A130" s="34" t="s">
        <v>124</v>
      </c>
      <c r="B130" s="295" t="s">
        <v>125</v>
      </c>
      <c r="C130" s="296"/>
      <c r="D130" s="297"/>
      <c r="E130" s="51"/>
      <c r="F130" s="40"/>
    </row>
    <row r="131" spans="1:8">
      <c r="A131" s="34" t="s">
        <v>10</v>
      </c>
      <c r="B131" s="295" t="s">
        <v>126</v>
      </c>
      <c r="C131" s="296"/>
      <c r="D131" s="297"/>
      <c r="E131" s="46">
        <v>7.0000000000000007E-2</v>
      </c>
      <c r="F131" s="35" t="e">
        <f>E131*($G$36+$F$48+$F$57+$F$120+F125)</f>
        <v>#REF!</v>
      </c>
    </row>
    <row r="132" spans="1:8">
      <c r="A132" s="277" t="s">
        <v>77</v>
      </c>
      <c r="B132" s="278"/>
      <c r="C132" s="278"/>
      <c r="D132" s="278"/>
      <c r="E132" s="279"/>
      <c r="F132" s="40" t="e">
        <f>F125+F126+F131</f>
        <v>#REF!</v>
      </c>
      <c r="G132" s="52"/>
    </row>
    <row r="135" spans="1:8" ht="32.25" customHeight="1">
      <c r="A135" s="301" t="s">
        <v>127</v>
      </c>
      <c r="B135" s="302"/>
      <c r="C135" s="302"/>
      <c r="D135" s="302"/>
      <c r="E135" s="303"/>
      <c r="F135" s="35" t="s">
        <v>33</v>
      </c>
    </row>
    <row r="136" spans="1:8">
      <c r="A136" s="34" t="s">
        <v>5</v>
      </c>
      <c r="B136" s="276" t="s">
        <v>128</v>
      </c>
      <c r="C136" s="276"/>
      <c r="D136" s="276"/>
      <c r="E136" s="276"/>
      <c r="F136" s="35">
        <f>G36</f>
        <v>873.6</v>
      </c>
    </row>
    <row r="137" spans="1:8">
      <c r="A137" s="34" t="s">
        <v>7</v>
      </c>
      <c r="B137" s="276" t="s">
        <v>129</v>
      </c>
      <c r="C137" s="276"/>
      <c r="D137" s="276"/>
      <c r="E137" s="276"/>
      <c r="F137" s="35">
        <f>F48</f>
        <v>634.58000000000004</v>
      </c>
    </row>
    <row r="138" spans="1:8">
      <c r="A138" s="34" t="s">
        <v>10</v>
      </c>
      <c r="B138" s="276" t="s">
        <v>130</v>
      </c>
      <c r="C138" s="276"/>
      <c r="D138" s="276"/>
      <c r="E138" s="276"/>
      <c r="F138" s="35" t="e">
        <f>F57</f>
        <v>#REF!</v>
      </c>
    </row>
    <row r="139" spans="1:8">
      <c r="A139" s="34" t="s">
        <v>13</v>
      </c>
      <c r="B139" s="276" t="s">
        <v>131</v>
      </c>
      <c r="C139" s="276"/>
      <c r="D139" s="276"/>
      <c r="E139" s="276"/>
      <c r="F139" s="35">
        <f>F120</f>
        <v>660.45</v>
      </c>
      <c r="G139" s="52"/>
    </row>
    <row r="140" spans="1:8" ht="16.5" customHeight="1">
      <c r="A140" s="277" t="s">
        <v>81</v>
      </c>
      <c r="B140" s="278"/>
      <c r="C140" s="278"/>
      <c r="D140" s="278"/>
      <c r="E140" s="279"/>
      <c r="F140" s="40" t="e">
        <f>SUM(F136:F139)</f>
        <v>#REF!</v>
      </c>
      <c r="G140" s="52"/>
    </row>
    <row r="141" spans="1:8">
      <c r="A141" s="34" t="s">
        <v>38</v>
      </c>
      <c r="B141" s="276" t="s">
        <v>132</v>
      </c>
      <c r="C141" s="276"/>
      <c r="D141" s="276"/>
      <c r="E141" s="276"/>
      <c r="F141" s="35" t="e">
        <f>F132</f>
        <v>#REF!</v>
      </c>
    </row>
    <row r="142" spans="1:8">
      <c r="A142" s="280" t="s">
        <v>77</v>
      </c>
      <c r="B142" s="280"/>
      <c r="C142" s="280"/>
      <c r="D142" s="280"/>
      <c r="E142" s="280"/>
      <c r="F142" s="53" t="e">
        <f>SUM(F140:F141)</f>
        <v>#REF!</v>
      </c>
      <c r="G142" s="52" t="e">
        <f>(F140+F131+F125)/(1-E126)</f>
        <v>#REF!</v>
      </c>
      <c r="H142" s="52"/>
    </row>
    <row r="143" spans="1:8">
      <c r="D143" s="281" t="s">
        <v>133</v>
      </c>
      <c r="E143" s="281"/>
      <c r="F143" s="54" t="e">
        <f>F142/G36</f>
        <v>#REF!</v>
      </c>
    </row>
    <row r="145" spans="1:8" ht="26.25" customHeight="1">
      <c r="A145" s="282" t="s">
        <v>134</v>
      </c>
      <c r="B145" s="282"/>
      <c r="C145" s="282"/>
      <c r="D145" s="282"/>
      <c r="E145" s="282"/>
      <c r="F145" s="282"/>
    </row>
    <row r="146" spans="1:8">
      <c r="A146" s="55"/>
      <c r="B146" s="55"/>
      <c r="C146" s="55"/>
      <c r="D146" s="55"/>
      <c r="E146" s="55"/>
      <c r="F146" s="55"/>
    </row>
    <row r="147" spans="1:8">
      <c r="A147" s="56" t="s">
        <v>135</v>
      </c>
      <c r="B147" s="57"/>
      <c r="C147" s="58"/>
      <c r="D147" s="59" t="s">
        <v>136</v>
      </c>
      <c r="E147" s="57"/>
      <c r="F147" s="60"/>
      <c r="G147" s="61"/>
      <c r="H147" s="61"/>
    </row>
    <row r="148" spans="1:8">
      <c r="A148" s="283" t="s">
        <v>137</v>
      </c>
      <c r="B148" s="284"/>
      <c r="C148" s="285"/>
      <c r="D148" s="286">
        <v>8.3299999999999999E-2</v>
      </c>
      <c r="E148" s="287"/>
      <c r="F148" s="288"/>
    </row>
    <row r="149" spans="1:8">
      <c r="A149" s="289" t="s">
        <v>138</v>
      </c>
      <c r="B149" s="290"/>
      <c r="C149" s="291"/>
      <c r="D149" s="292">
        <v>0.121</v>
      </c>
      <c r="E149" s="293"/>
      <c r="F149" s="294"/>
    </row>
    <row r="150" spans="1:8" ht="33.75" customHeight="1">
      <c r="A150" s="256" t="s">
        <v>139</v>
      </c>
      <c r="B150" s="257"/>
      <c r="C150" s="258"/>
      <c r="D150" s="259">
        <v>0.05</v>
      </c>
      <c r="E150" s="260"/>
      <c r="F150" s="261"/>
    </row>
    <row r="151" spans="1:8">
      <c r="A151" s="262" t="s">
        <v>81</v>
      </c>
      <c r="B151" s="263"/>
      <c r="C151" s="264"/>
      <c r="D151" s="265">
        <v>0.25430000000000003</v>
      </c>
      <c r="E151" s="266"/>
      <c r="F151" s="267"/>
    </row>
    <row r="152" spans="1:8" ht="33.75" customHeight="1">
      <c r="A152" s="268" t="s">
        <v>140</v>
      </c>
      <c r="B152" s="269"/>
      <c r="C152" s="270"/>
      <c r="D152" s="62">
        <v>7.39</v>
      </c>
      <c r="E152" s="63">
        <v>7.6</v>
      </c>
      <c r="F152" s="64">
        <v>7.8200000000000006E-2</v>
      </c>
    </row>
    <row r="153" spans="1:8">
      <c r="A153" s="271" t="s">
        <v>141</v>
      </c>
      <c r="B153" s="272"/>
      <c r="C153" s="273"/>
      <c r="D153" s="65">
        <v>32.82</v>
      </c>
      <c r="E153" s="65">
        <v>33.03</v>
      </c>
      <c r="F153" s="66">
        <v>0.33250000000000002</v>
      </c>
    </row>
    <row r="154" spans="1:8" ht="36" customHeight="1">
      <c r="A154" s="274" t="s">
        <v>142</v>
      </c>
      <c r="B154" s="274"/>
      <c r="C154" s="274"/>
      <c r="D154" s="274"/>
      <c r="E154" s="274"/>
      <c r="F154" s="274"/>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237" customWidth="1"/>
    <col min="2" max="2" width="7.28515625" style="238" customWidth="1"/>
    <col min="3" max="16384" width="9.140625" style="237"/>
  </cols>
  <sheetData>
    <row r="1" spans="1:2" ht="15.75">
      <c r="A1" s="239" t="s">
        <v>143</v>
      </c>
      <c r="B1" s="240"/>
    </row>
    <row r="2" spans="1:2" ht="15.75">
      <c r="A2" s="239" t="s">
        <v>144</v>
      </c>
      <c r="B2" s="240"/>
    </row>
    <row r="3" spans="1:2">
      <c r="A3" s="241"/>
      <c r="B3" s="240"/>
    </row>
    <row r="4" spans="1:2" ht="41.25" customHeight="1">
      <c r="A4" s="361" t="s">
        <v>145</v>
      </c>
      <c r="B4" s="357"/>
    </row>
    <row r="5" spans="1:2" ht="15">
      <c r="A5" s="362"/>
      <c r="B5" s="357"/>
    </row>
    <row r="6" spans="1:2" ht="57" customHeight="1">
      <c r="A6" s="363" t="s">
        <v>146</v>
      </c>
      <c r="B6" s="364"/>
    </row>
    <row r="7" spans="1:2" ht="57" customHeight="1">
      <c r="A7" s="360" t="s">
        <v>147</v>
      </c>
      <c r="B7" s="353"/>
    </row>
    <row r="8" spans="1:2" ht="68.25" customHeight="1">
      <c r="A8" s="365" t="s">
        <v>148</v>
      </c>
      <c r="B8" s="359"/>
    </row>
    <row r="9" spans="1:2" ht="41.25" customHeight="1">
      <c r="A9" s="358" t="s">
        <v>149</v>
      </c>
      <c r="B9" s="359"/>
    </row>
    <row r="10" spans="1:2" ht="30.75" customHeight="1">
      <c r="A10" s="360" t="s">
        <v>150</v>
      </c>
      <c r="B10" s="353"/>
    </row>
    <row r="11" spans="1:2" ht="27.75" customHeight="1">
      <c r="A11" s="360" t="s">
        <v>151</v>
      </c>
      <c r="B11" s="353"/>
    </row>
    <row r="12" spans="1:2" ht="39.75" customHeight="1">
      <c r="A12" s="360" t="s">
        <v>152</v>
      </c>
      <c r="B12" s="353"/>
    </row>
    <row r="13" spans="1:2" ht="66" customHeight="1">
      <c r="A13" s="360" t="s">
        <v>153</v>
      </c>
      <c r="B13" s="353"/>
    </row>
    <row r="14" spans="1:2" ht="54" customHeight="1">
      <c r="A14" s="352" t="s">
        <v>154</v>
      </c>
      <c r="B14" s="353"/>
    </row>
    <row r="15" spans="1:2" ht="23.25" customHeight="1">
      <c r="A15" s="354" t="s">
        <v>155</v>
      </c>
      <c r="B15" s="355"/>
    </row>
    <row r="16" spans="1:2" ht="15">
      <c r="A16" s="356"/>
      <c r="B16" s="357"/>
    </row>
    <row r="17" spans="1:4">
      <c r="A17" s="242"/>
      <c r="C17" s="242"/>
      <c r="D17" s="242"/>
    </row>
    <row r="18" spans="1:4">
      <c r="A18" s="242"/>
      <c r="C18" s="242"/>
      <c r="D18" s="242"/>
    </row>
    <row r="19" spans="1:4">
      <c r="A19" s="242"/>
      <c r="C19" s="242"/>
      <c r="D19" s="242"/>
    </row>
    <row r="20" spans="1:4">
      <c r="A20" s="242"/>
      <c r="C20" s="242"/>
      <c r="D20" s="242"/>
    </row>
    <row r="26" spans="1:4">
      <c r="A26" s="243"/>
      <c r="B26" s="240"/>
      <c r="C26" s="243"/>
    </row>
    <row r="27" spans="1:4">
      <c r="A27" s="243"/>
      <c r="B27" s="240"/>
      <c r="C27" s="243"/>
    </row>
    <row r="28" spans="1:4">
      <c r="A28" s="243"/>
      <c r="B28" s="240"/>
      <c r="C28" s="243"/>
    </row>
    <row r="29" spans="1:4">
      <c r="A29" s="243"/>
      <c r="B29" s="240"/>
      <c r="C29" s="243"/>
    </row>
    <row r="30" spans="1:4">
      <c r="A30" s="243"/>
      <c r="B30" s="240"/>
      <c r="C30" s="243"/>
    </row>
    <row r="31" spans="1:4">
      <c r="A31" s="243"/>
      <c r="B31" s="240"/>
      <c r="C31" s="243"/>
    </row>
    <row r="32" spans="1:4">
      <c r="A32" s="243"/>
      <c r="B32" s="244"/>
      <c r="C32" s="245"/>
    </row>
    <row r="33" spans="1:3">
      <c r="A33" s="243"/>
      <c r="B33" s="244"/>
      <c r="C33" s="245"/>
    </row>
    <row r="34" spans="1:3">
      <c r="A34" s="243"/>
      <c r="B34" s="244"/>
      <c r="C34" s="245"/>
    </row>
    <row r="35" spans="1:3">
      <c r="A35" s="243"/>
      <c r="B35" s="244"/>
      <c r="C35" s="243"/>
    </row>
    <row r="36" spans="1:3">
      <c r="A36" s="243"/>
      <c r="B36" s="244"/>
      <c r="C36" s="243"/>
    </row>
    <row r="37" spans="1:3">
      <c r="A37" s="243"/>
      <c r="B37" s="240"/>
      <c r="C37" s="243"/>
    </row>
    <row r="38" spans="1:3">
      <c r="A38" s="243"/>
      <c r="B38" s="240"/>
      <c r="C38" s="245"/>
    </row>
    <row r="39" spans="1:3">
      <c r="A39" s="243"/>
      <c r="B39" s="240"/>
      <c r="C39" s="243"/>
    </row>
    <row r="40" spans="1:3">
      <c r="A40" s="243"/>
      <c r="B40" s="240"/>
      <c r="C40" s="243"/>
    </row>
    <row r="41" spans="1:3">
      <c r="A41" s="243"/>
      <c r="B41" s="240"/>
      <c r="C41" s="243"/>
    </row>
    <row r="42" spans="1:3">
      <c r="A42" s="243"/>
      <c r="B42" s="240"/>
      <c r="C42" s="243"/>
    </row>
    <row r="43" spans="1:3">
      <c r="A43" s="243"/>
      <c r="B43" s="240"/>
      <c r="C43" s="243"/>
    </row>
    <row r="45" spans="1:3">
      <c r="A45" s="246"/>
      <c r="B45" s="247"/>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13"/>
  <sheetViews>
    <sheetView showGridLines="0" view="pageBreakPreview" topLeftCell="A67" zoomScaleNormal="160" zoomScaleSheetLayoutView="100" workbookViewId="0">
      <selection activeCell="E70" sqref="E70"/>
    </sheetView>
  </sheetViews>
  <sheetFormatPr defaultColWidth="9" defaultRowHeight="12.75"/>
  <cols>
    <col min="1" max="1" width="2" style="143" customWidth="1"/>
    <col min="2" max="2" width="1.7109375" style="143" customWidth="1"/>
    <col min="3" max="3" width="8" style="143" customWidth="1"/>
    <col min="4" max="4" width="63.85546875" style="143" customWidth="1"/>
    <col min="5" max="5" width="16" style="143" customWidth="1"/>
    <col min="6" max="6" width="40.7109375" style="143" customWidth="1"/>
    <col min="7" max="7" width="1.7109375" style="141" customWidth="1"/>
    <col min="8" max="8" width="12.85546875" style="143" customWidth="1"/>
    <col min="9" max="256" width="9.140625" style="143"/>
    <col min="257" max="257" width="2" style="143" customWidth="1"/>
    <col min="258" max="258" width="1.7109375" style="143" customWidth="1"/>
    <col min="259" max="259" width="8" style="143" customWidth="1"/>
    <col min="260" max="260" width="63.85546875" style="143" customWidth="1"/>
    <col min="261" max="261" width="16" style="143" customWidth="1"/>
    <col min="262" max="262" width="40.7109375" style="143" customWidth="1"/>
    <col min="263" max="263" width="1.7109375" style="143" customWidth="1"/>
    <col min="264" max="264" width="12.85546875" style="143" customWidth="1"/>
    <col min="265" max="512" width="9.140625" style="143"/>
    <col min="513" max="513" width="2" style="143" customWidth="1"/>
    <col min="514" max="514" width="1.7109375" style="143" customWidth="1"/>
    <col min="515" max="515" width="8" style="143" customWidth="1"/>
    <col min="516" max="516" width="63.85546875" style="143" customWidth="1"/>
    <col min="517" max="517" width="16" style="143" customWidth="1"/>
    <col min="518" max="518" width="40.7109375" style="143" customWidth="1"/>
    <col min="519" max="519" width="1.7109375" style="143" customWidth="1"/>
    <col min="520" max="520" width="12.85546875" style="143" customWidth="1"/>
    <col min="521" max="768" width="9.140625" style="143"/>
    <col min="769" max="769" width="2" style="143" customWidth="1"/>
    <col min="770" max="770" width="1.7109375" style="143" customWidth="1"/>
    <col min="771" max="771" width="8" style="143" customWidth="1"/>
    <col min="772" max="772" width="63.85546875" style="143" customWidth="1"/>
    <col min="773" max="773" width="16" style="143" customWidth="1"/>
    <col min="774" max="774" width="40.7109375" style="143" customWidth="1"/>
    <col min="775" max="775" width="1.7109375" style="143" customWidth="1"/>
    <col min="776" max="776" width="12.85546875" style="143" customWidth="1"/>
    <col min="777" max="1024" width="9.140625" style="143"/>
    <col min="1025" max="1025" width="2" style="143" customWidth="1"/>
    <col min="1026" max="1026" width="1.7109375" style="143" customWidth="1"/>
    <col min="1027" max="1027" width="8" style="143" customWidth="1"/>
    <col min="1028" max="1028" width="63.85546875" style="143" customWidth="1"/>
    <col min="1029" max="1029" width="16" style="143" customWidth="1"/>
    <col min="1030" max="1030" width="40.7109375" style="143" customWidth="1"/>
    <col min="1031" max="1031" width="1.7109375" style="143" customWidth="1"/>
    <col min="1032" max="1032" width="12.85546875" style="143" customWidth="1"/>
    <col min="1033" max="1280" width="9.140625" style="143"/>
    <col min="1281" max="1281" width="2" style="143" customWidth="1"/>
    <col min="1282" max="1282" width="1.7109375" style="143" customWidth="1"/>
    <col min="1283" max="1283" width="8" style="143" customWidth="1"/>
    <col min="1284" max="1284" width="63.85546875" style="143" customWidth="1"/>
    <col min="1285" max="1285" width="16" style="143" customWidth="1"/>
    <col min="1286" max="1286" width="40.7109375" style="143" customWidth="1"/>
    <col min="1287" max="1287" width="1.7109375" style="143" customWidth="1"/>
    <col min="1288" max="1288" width="12.85546875" style="143" customWidth="1"/>
    <col min="1289" max="1536" width="9.140625" style="143"/>
    <col min="1537" max="1537" width="2" style="143" customWidth="1"/>
    <col min="1538" max="1538" width="1.7109375" style="143" customWidth="1"/>
    <col min="1539" max="1539" width="8" style="143" customWidth="1"/>
    <col min="1540" max="1540" width="63.85546875" style="143" customWidth="1"/>
    <col min="1541" max="1541" width="16" style="143" customWidth="1"/>
    <col min="1542" max="1542" width="40.7109375" style="143" customWidth="1"/>
    <col min="1543" max="1543" width="1.7109375" style="143" customWidth="1"/>
    <col min="1544" max="1544" width="12.85546875" style="143" customWidth="1"/>
    <col min="1545" max="1792" width="9.140625" style="143"/>
    <col min="1793" max="1793" width="2" style="143" customWidth="1"/>
    <col min="1794" max="1794" width="1.7109375" style="143" customWidth="1"/>
    <col min="1795" max="1795" width="8" style="143" customWidth="1"/>
    <col min="1796" max="1796" width="63.85546875" style="143" customWidth="1"/>
    <col min="1797" max="1797" width="16" style="143" customWidth="1"/>
    <col min="1798" max="1798" width="40.7109375" style="143" customWidth="1"/>
    <col min="1799" max="1799" width="1.7109375" style="143" customWidth="1"/>
    <col min="1800" max="1800" width="12.85546875" style="143" customWidth="1"/>
    <col min="1801" max="2048" width="9.140625" style="143"/>
    <col min="2049" max="2049" width="2" style="143" customWidth="1"/>
    <col min="2050" max="2050" width="1.7109375" style="143" customWidth="1"/>
    <col min="2051" max="2051" width="8" style="143" customWidth="1"/>
    <col min="2052" max="2052" width="63.85546875" style="143" customWidth="1"/>
    <col min="2053" max="2053" width="16" style="143" customWidth="1"/>
    <col min="2054" max="2054" width="40.7109375" style="143" customWidth="1"/>
    <col min="2055" max="2055" width="1.7109375" style="143" customWidth="1"/>
    <col min="2056" max="2056" width="12.85546875" style="143" customWidth="1"/>
    <col min="2057" max="2304" width="9.140625" style="143"/>
    <col min="2305" max="2305" width="2" style="143" customWidth="1"/>
    <col min="2306" max="2306" width="1.7109375" style="143" customWidth="1"/>
    <col min="2307" max="2307" width="8" style="143" customWidth="1"/>
    <col min="2308" max="2308" width="63.85546875" style="143" customWidth="1"/>
    <col min="2309" max="2309" width="16" style="143" customWidth="1"/>
    <col min="2310" max="2310" width="40.7109375" style="143" customWidth="1"/>
    <col min="2311" max="2311" width="1.7109375" style="143" customWidth="1"/>
    <col min="2312" max="2312" width="12.85546875" style="143" customWidth="1"/>
    <col min="2313" max="2560" width="9.140625" style="143"/>
    <col min="2561" max="2561" width="2" style="143" customWidth="1"/>
    <col min="2562" max="2562" width="1.7109375" style="143" customWidth="1"/>
    <col min="2563" max="2563" width="8" style="143" customWidth="1"/>
    <col min="2564" max="2564" width="63.85546875" style="143" customWidth="1"/>
    <col min="2565" max="2565" width="16" style="143" customWidth="1"/>
    <col min="2566" max="2566" width="40.7109375" style="143" customWidth="1"/>
    <col min="2567" max="2567" width="1.7109375" style="143" customWidth="1"/>
    <col min="2568" max="2568" width="12.85546875" style="143" customWidth="1"/>
    <col min="2569" max="2816" width="9.140625" style="143"/>
    <col min="2817" max="2817" width="2" style="143" customWidth="1"/>
    <col min="2818" max="2818" width="1.7109375" style="143" customWidth="1"/>
    <col min="2819" max="2819" width="8" style="143" customWidth="1"/>
    <col min="2820" max="2820" width="63.85546875" style="143" customWidth="1"/>
    <col min="2821" max="2821" width="16" style="143" customWidth="1"/>
    <col min="2822" max="2822" width="40.7109375" style="143" customWidth="1"/>
    <col min="2823" max="2823" width="1.7109375" style="143" customWidth="1"/>
    <col min="2824" max="2824" width="12.85546875" style="143" customWidth="1"/>
    <col min="2825" max="3072" width="9.140625" style="143"/>
    <col min="3073" max="3073" width="2" style="143" customWidth="1"/>
    <col min="3074" max="3074" width="1.7109375" style="143" customWidth="1"/>
    <col min="3075" max="3075" width="8" style="143" customWidth="1"/>
    <col min="3076" max="3076" width="63.85546875" style="143" customWidth="1"/>
    <col min="3077" max="3077" width="16" style="143" customWidth="1"/>
    <col min="3078" max="3078" width="40.7109375" style="143" customWidth="1"/>
    <col min="3079" max="3079" width="1.7109375" style="143" customWidth="1"/>
    <col min="3080" max="3080" width="12.85546875" style="143" customWidth="1"/>
    <col min="3081" max="3328" width="9.140625" style="143"/>
    <col min="3329" max="3329" width="2" style="143" customWidth="1"/>
    <col min="3330" max="3330" width="1.7109375" style="143" customWidth="1"/>
    <col min="3331" max="3331" width="8" style="143" customWidth="1"/>
    <col min="3332" max="3332" width="63.85546875" style="143" customWidth="1"/>
    <col min="3333" max="3333" width="16" style="143" customWidth="1"/>
    <col min="3334" max="3334" width="40.7109375" style="143" customWidth="1"/>
    <col min="3335" max="3335" width="1.7109375" style="143" customWidth="1"/>
    <col min="3336" max="3336" width="12.85546875" style="143" customWidth="1"/>
    <col min="3337" max="3584" width="9.140625" style="143"/>
    <col min="3585" max="3585" width="2" style="143" customWidth="1"/>
    <col min="3586" max="3586" width="1.7109375" style="143" customWidth="1"/>
    <col min="3587" max="3587" width="8" style="143" customWidth="1"/>
    <col min="3588" max="3588" width="63.85546875" style="143" customWidth="1"/>
    <col min="3589" max="3589" width="16" style="143" customWidth="1"/>
    <col min="3590" max="3590" width="40.7109375" style="143" customWidth="1"/>
    <col min="3591" max="3591" width="1.7109375" style="143" customWidth="1"/>
    <col min="3592" max="3592" width="12.85546875" style="143" customWidth="1"/>
    <col min="3593" max="3840" width="9.140625" style="143"/>
    <col min="3841" max="3841" width="2" style="143" customWidth="1"/>
    <col min="3842" max="3842" width="1.7109375" style="143" customWidth="1"/>
    <col min="3843" max="3843" width="8" style="143" customWidth="1"/>
    <col min="3844" max="3844" width="63.85546875" style="143" customWidth="1"/>
    <col min="3845" max="3845" width="16" style="143" customWidth="1"/>
    <col min="3846" max="3846" width="40.7109375" style="143" customWidth="1"/>
    <col min="3847" max="3847" width="1.7109375" style="143" customWidth="1"/>
    <col min="3848" max="3848" width="12.85546875" style="143" customWidth="1"/>
    <col min="3849" max="4096" width="9.140625" style="143"/>
    <col min="4097" max="4097" width="2" style="143" customWidth="1"/>
    <col min="4098" max="4098" width="1.7109375" style="143" customWidth="1"/>
    <col min="4099" max="4099" width="8" style="143" customWidth="1"/>
    <col min="4100" max="4100" width="63.85546875" style="143" customWidth="1"/>
    <col min="4101" max="4101" width="16" style="143" customWidth="1"/>
    <col min="4102" max="4102" width="40.7109375" style="143" customWidth="1"/>
    <col min="4103" max="4103" width="1.7109375" style="143" customWidth="1"/>
    <col min="4104" max="4104" width="12.85546875" style="143" customWidth="1"/>
    <col min="4105" max="4352" width="9.140625" style="143"/>
    <col min="4353" max="4353" width="2" style="143" customWidth="1"/>
    <col min="4354" max="4354" width="1.7109375" style="143" customWidth="1"/>
    <col min="4355" max="4355" width="8" style="143" customWidth="1"/>
    <col min="4356" max="4356" width="63.85546875" style="143" customWidth="1"/>
    <col min="4357" max="4357" width="16" style="143" customWidth="1"/>
    <col min="4358" max="4358" width="40.7109375" style="143" customWidth="1"/>
    <col min="4359" max="4359" width="1.7109375" style="143" customWidth="1"/>
    <col min="4360" max="4360" width="12.85546875" style="143" customWidth="1"/>
    <col min="4361" max="4608" width="9.140625" style="143"/>
    <col min="4609" max="4609" width="2" style="143" customWidth="1"/>
    <col min="4610" max="4610" width="1.7109375" style="143" customWidth="1"/>
    <col min="4611" max="4611" width="8" style="143" customWidth="1"/>
    <col min="4612" max="4612" width="63.85546875" style="143" customWidth="1"/>
    <col min="4613" max="4613" width="16" style="143" customWidth="1"/>
    <col min="4614" max="4614" width="40.7109375" style="143" customWidth="1"/>
    <col min="4615" max="4615" width="1.7109375" style="143" customWidth="1"/>
    <col min="4616" max="4616" width="12.85546875" style="143" customWidth="1"/>
    <col min="4617" max="4864" width="9.140625" style="143"/>
    <col min="4865" max="4865" width="2" style="143" customWidth="1"/>
    <col min="4866" max="4866" width="1.7109375" style="143" customWidth="1"/>
    <col min="4867" max="4867" width="8" style="143" customWidth="1"/>
    <col min="4868" max="4868" width="63.85546875" style="143" customWidth="1"/>
    <col min="4869" max="4869" width="16" style="143" customWidth="1"/>
    <col min="4870" max="4870" width="40.7109375" style="143" customWidth="1"/>
    <col min="4871" max="4871" width="1.7109375" style="143" customWidth="1"/>
    <col min="4872" max="4872" width="12.85546875" style="143" customWidth="1"/>
    <col min="4873" max="5120" width="9.140625" style="143"/>
    <col min="5121" max="5121" width="2" style="143" customWidth="1"/>
    <col min="5122" max="5122" width="1.7109375" style="143" customWidth="1"/>
    <col min="5123" max="5123" width="8" style="143" customWidth="1"/>
    <col min="5124" max="5124" width="63.85546875" style="143" customWidth="1"/>
    <col min="5125" max="5125" width="16" style="143" customWidth="1"/>
    <col min="5126" max="5126" width="40.7109375" style="143" customWidth="1"/>
    <col min="5127" max="5127" width="1.7109375" style="143" customWidth="1"/>
    <col min="5128" max="5128" width="12.85546875" style="143" customWidth="1"/>
    <col min="5129" max="5376" width="9.140625" style="143"/>
    <col min="5377" max="5377" width="2" style="143" customWidth="1"/>
    <col min="5378" max="5378" width="1.7109375" style="143" customWidth="1"/>
    <col min="5379" max="5379" width="8" style="143" customWidth="1"/>
    <col min="5380" max="5380" width="63.85546875" style="143" customWidth="1"/>
    <col min="5381" max="5381" width="16" style="143" customWidth="1"/>
    <col min="5382" max="5382" width="40.7109375" style="143" customWidth="1"/>
    <col min="5383" max="5383" width="1.7109375" style="143" customWidth="1"/>
    <col min="5384" max="5384" width="12.85546875" style="143" customWidth="1"/>
    <col min="5385" max="5632" width="9.140625" style="143"/>
    <col min="5633" max="5633" width="2" style="143" customWidth="1"/>
    <col min="5634" max="5634" width="1.7109375" style="143" customWidth="1"/>
    <col min="5635" max="5635" width="8" style="143" customWidth="1"/>
    <col min="5636" max="5636" width="63.85546875" style="143" customWidth="1"/>
    <col min="5637" max="5637" width="16" style="143" customWidth="1"/>
    <col min="5638" max="5638" width="40.7109375" style="143" customWidth="1"/>
    <col min="5639" max="5639" width="1.7109375" style="143" customWidth="1"/>
    <col min="5640" max="5640" width="12.85546875" style="143" customWidth="1"/>
    <col min="5641" max="5888" width="9.140625" style="143"/>
    <col min="5889" max="5889" width="2" style="143" customWidth="1"/>
    <col min="5890" max="5890" width="1.7109375" style="143" customWidth="1"/>
    <col min="5891" max="5891" width="8" style="143" customWidth="1"/>
    <col min="5892" max="5892" width="63.85546875" style="143" customWidth="1"/>
    <col min="5893" max="5893" width="16" style="143" customWidth="1"/>
    <col min="5894" max="5894" width="40.7109375" style="143" customWidth="1"/>
    <col min="5895" max="5895" width="1.7109375" style="143" customWidth="1"/>
    <col min="5896" max="5896" width="12.85546875" style="143" customWidth="1"/>
    <col min="5897" max="6144" width="9.140625" style="143"/>
    <col min="6145" max="6145" width="2" style="143" customWidth="1"/>
    <col min="6146" max="6146" width="1.7109375" style="143" customWidth="1"/>
    <col min="6147" max="6147" width="8" style="143" customWidth="1"/>
    <col min="6148" max="6148" width="63.85546875" style="143" customWidth="1"/>
    <col min="6149" max="6149" width="16" style="143" customWidth="1"/>
    <col min="6150" max="6150" width="40.7109375" style="143" customWidth="1"/>
    <col min="6151" max="6151" width="1.7109375" style="143" customWidth="1"/>
    <col min="6152" max="6152" width="12.85546875" style="143" customWidth="1"/>
    <col min="6153" max="6400" width="9.140625" style="143"/>
    <col min="6401" max="6401" width="2" style="143" customWidth="1"/>
    <col min="6402" max="6402" width="1.7109375" style="143" customWidth="1"/>
    <col min="6403" max="6403" width="8" style="143" customWidth="1"/>
    <col min="6404" max="6404" width="63.85546875" style="143" customWidth="1"/>
    <col min="6405" max="6405" width="16" style="143" customWidth="1"/>
    <col min="6406" max="6406" width="40.7109375" style="143" customWidth="1"/>
    <col min="6407" max="6407" width="1.7109375" style="143" customWidth="1"/>
    <col min="6408" max="6408" width="12.85546875" style="143" customWidth="1"/>
    <col min="6409" max="6656" width="9.140625" style="143"/>
    <col min="6657" max="6657" width="2" style="143" customWidth="1"/>
    <col min="6658" max="6658" width="1.7109375" style="143" customWidth="1"/>
    <col min="6659" max="6659" width="8" style="143" customWidth="1"/>
    <col min="6660" max="6660" width="63.85546875" style="143" customWidth="1"/>
    <col min="6661" max="6661" width="16" style="143" customWidth="1"/>
    <col min="6662" max="6662" width="40.7109375" style="143" customWidth="1"/>
    <col min="6663" max="6663" width="1.7109375" style="143" customWidth="1"/>
    <col min="6664" max="6664" width="12.85546875" style="143" customWidth="1"/>
    <col min="6665" max="6912" width="9.140625" style="143"/>
    <col min="6913" max="6913" width="2" style="143" customWidth="1"/>
    <col min="6914" max="6914" width="1.7109375" style="143" customWidth="1"/>
    <col min="6915" max="6915" width="8" style="143" customWidth="1"/>
    <col min="6916" max="6916" width="63.85546875" style="143" customWidth="1"/>
    <col min="6917" max="6917" width="16" style="143" customWidth="1"/>
    <col min="6918" max="6918" width="40.7109375" style="143" customWidth="1"/>
    <col min="6919" max="6919" width="1.7109375" style="143" customWidth="1"/>
    <col min="6920" max="6920" width="12.85546875" style="143" customWidth="1"/>
    <col min="6921" max="7168" width="9.140625" style="143"/>
    <col min="7169" max="7169" width="2" style="143" customWidth="1"/>
    <col min="7170" max="7170" width="1.7109375" style="143" customWidth="1"/>
    <col min="7171" max="7171" width="8" style="143" customWidth="1"/>
    <col min="7172" max="7172" width="63.85546875" style="143" customWidth="1"/>
    <col min="7173" max="7173" width="16" style="143" customWidth="1"/>
    <col min="7174" max="7174" width="40.7109375" style="143" customWidth="1"/>
    <col min="7175" max="7175" width="1.7109375" style="143" customWidth="1"/>
    <col min="7176" max="7176" width="12.85546875" style="143" customWidth="1"/>
    <col min="7177" max="7424" width="9.140625" style="143"/>
    <col min="7425" max="7425" width="2" style="143" customWidth="1"/>
    <col min="7426" max="7426" width="1.7109375" style="143" customWidth="1"/>
    <col min="7427" max="7427" width="8" style="143" customWidth="1"/>
    <col min="7428" max="7428" width="63.85546875" style="143" customWidth="1"/>
    <col min="7429" max="7429" width="16" style="143" customWidth="1"/>
    <col min="7430" max="7430" width="40.7109375" style="143" customWidth="1"/>
    <col min="7431" max="7431" width="1.7109375" style="143" customWidth="1"/>
    <col min="7432" max="7432" width="12.85546875" style="143" customWidth="1"/>
    <col min="7433" max="7680" width="9.140625" style="143"/>
    <col min="7681" max="7681" width="2" style="143" customWidth="1"/>
    <col min="7682" max="7682" width="1.7109375" style="143" customWidth="1"/>
    <col min="7683" max="7683" width="8" style="143" customWidth="1"/>
    <col min="7684" max="7684" width="63.85546875" style="143" customWidth="1"/>
    <col min="7685" max="7685" width="16" style="143" customWidth="1"/>
    <col min="7686" max="7686" width="40.7109375" style="143" customWidth="1"/>
    <col min="7687" max="7687" width="1.7109375" style="143" customWidth="1"/>
    <col min="7688" max="7688" width="12.85546875" style="143" customWidth="1"/>
    <col min="7689" max="7936" width="9.140625" style="143"/>
    <col min="7937" max="7937" width="2" style="143" customWidth="1"/>
    <col min="7938" max="7938" width="1.7109375" style="143" customWidth="1"/>
    <col min="7939" max="7939" width="8" style="143" customWidth="1"/>
    <col min="7940" max="7940" width="63.85546875" style="143" customWidth="1"/>
    <col min="7941" max="7941" width="16" style="143" customWidth="1"/>
    <col min="7942" max="7942" width="40.7109375" style="143" customWidth="1"/>
    <col min="7943" max="7943" width="1.7109375" style="143" customWidth="1"/>
    <col min="7944" max="7944" width="12.85546875" style="143" customWidth="1"/>
    <col min="7945" max="8192" width="9.140625" style="143"/>
    <col min="8193" max="8193" width="2" style="143" customWidth="1"/>
    <col min="8194" max="8194" width="1.7109375" style="143" customWidth="1"/>
    <col min="8195" max="8195" width="8" style="143" customWidth="1"/>
    <col min="8196" max="8196" width="63.85546875" style="143" customWidth="1"/>
    <col min="8197" max="8197" width="16" style="143" customWidth="1"/>
    <col min="8198" max="8198" width="40.7109375" style="143" customWidth="1"/>
    <col min="8199" max="8199" width="1.7109375" style="143" customWidth="1"/>
    <col min="8200" max="8200" width="12.85546875" style="143" customWidth="1"/>
    <col min="8201" max="8448" width="9.140625" style="143"/>
    <col min="8449" max="8449" width="2" style="143" customWidth="1"/>
    <col min="8450" max="8450" width="1.7109375" style="143" customWidth="1"/>
    <col min="8451" max="8451" width="8" style="143" customWidth="1"/>
    <col min="8452" max="8452" width="63.85546875" style="143" customWidth="1"/>
    <col min="8453" max="8453" width="16" style="143" customWidth="1"/>
    <col min="8454" max="8454" width="40.7109375" style="143" customWidth="1"/>
    <col min="8455" max="8455" width="1.7109375" style="143" customWidth="1"/>
    <col min="8456" max="8456" width="12.85546875" style="143" customWidth="1"/>
    <col min="8457" max="8704" width="9.140625" style="143"/>
    <col min="8705" max="8705" width="2" style="143" customWidth="1"/>
    <col min="8706" max="8706" width="1.7109375" style="143" customWidth="1"/>
    <col min="8707" max="8707" width="8" style="143" customWidth="1"/>
    <col min="8708" max="8708" width="63.85546875" style="143" customWidth="1"/>
    <col min="8709" max="8709" width="16" style="143" customWidth="1"/>
    <col min="8710" max="8710" width="40.7109375" style="143" customWidth="1"/>
    <col min="8711" max="8711" width="1.7109375" style="143" customWidth="1"/>
    <col min="8712" max="8712" width="12.85546875" style="143" customWidth="1"/>
    <col min="8713" max="8960" width="9.140625" style="143"/>
    <col min="8961" max="8961" width="2" style="143" customWidth="1"/>
    <col min="8962" max="8962" width="1.7109375" style="143" customWidth="1"/>
    <col min="8963" max="8963" width="8" style="143" customWidth="1"/>
    <col min="8964" max="8964" width="63.85546875" style="143" customWidth="1"/>
    <col min="8965" max="8965" width="16" style="143" customWidth="1"/>
    <col min="8966" max="8966" width="40.7109375" style="143" customWidth="1"/>
    <col min="8967" max="8967" width="1.7109375" style="143" customWidth="1"/>
    <col min="8968" max="8968" width="12.85546875" style="143" customWidth="1"/>
    <col min="8969" max="9216" width="9.140625" style="143"/>
    <col min="9217" max="9217" width="2" style="143" customWidth="1"/>
    <col min="9218" max="9218" width="1.7109375" style="143" customWidth="1"/>
    <col min="9219" max="9219" width="8" style="143" customWidth="1"/>
    <col min="9220" max="9220" width="63.85546875" style="143" customWidth="1"/>
    <col min="9221" max="9221" width="16" style="143" customWidth="1"/>
    <col min="9222" max="9222" width="40.7109375" style="143" customWidth="1"/>
    <col min="9223" max="9223" width="1.7109375" style="143" customWidth="1"/>
    <col min="9224" max="9224" width="12.85546875" style="143" customWidth="1"/>
    <col min="9225" max="9472" width="9.140625" style="143"/>
    <col min="9473" max="9473" width="2" style="143" customWidth="1"/>
    <col min="9474" max="9474" width="1.7109375" style="143" customWidth="1"/>
    <col min="9475" max="9475" width="8" style="143" customWidth="1"/>
    <col min="9476" max="9476" width="63.85546875" style="143" customWidth="1"/>
    <col min="9477" max="9477" width="16" style="143" customWidth="1"/>
    <col min="9478" max="9478" width="40.7109375" style="143" customWidth="1"/>
    <col min="9479" max="9479" width="1.7109375" style="143" customWidth="1"/>
    <col min="9480" max="9480" width="12.85546875" style="143" customWidth="1"/>
    <col min="9481" max="9728" width="9.140625" style="143"/>
    <col min="9729" max="9729" width="2" style="143" customWidth="1"/>
    <col min="9730" max="9730" width="1.7109375" style="143" customWidth="1"/>
    <col min="9731" max="9731" width="8" style="143" customWidth="1"/>
    <col min="9732" max="9732" width="63.85546875" style="143" customWidth="1"/>
    <col min="9733" max="9733" width="16" style="143" customWidth="1"/>
    <col min="9734" max="9734" width="40.7109375" style="143" customWidth="1"/>
    <col min="9735" max="9735" width="1.7109375" style="143" customWidth="1"/>
    <col min="9736" max="9736" width="12.85546875" style="143" customWidth="1"/>
    <col min="9737" max="9984" width="9.140625" style="143"/>
    <col min="9985" max="9985" width="2" style="143" customWidth="1"/>
    <col min="9986" max="9986" width="1.7109375" style="143" customWidth="1"/>
    <col min="9987" max="9987" width="8" style="143" customWidth="1"/>
    <col min="9988" max="9988" width="63.85546875" style="143" customWidth="1"/>
    <col min="9989" max="9989" width="16" style="143" customWidth="1"/>
    <col min="9990" max="9990" width="40.7109375" style="143" customWidth="1"/>
    <col min="9991" max="9991" width="1.7109375" style="143" customWidth="1"/>
    <col min="9992" max="9992" width="12.85546875" style="143" customWidth="1"/>
    <col min="9993" max="10240" width="9.140625" style="143"/>
    <col min="10241" max="10241" width="2" style="143" customWidth="1"/>
    <col min="10242" max="10242" width="1.7109375" style="143" customWidth="1"/>
    <col min="10243" max="10243" width="8" style="143" customWidth="1"/>
    <col min="10244" max="10244" width="63.85546875" style="143" customWidth="1"/>
    <col min="10245" max="10245" width="16" style="143" customWidth="1"/>
    <col min="10246" max="10246" width="40.7109375" style="143" customWidth="1"/>
    <col min="10247" max="10247" width="1.7109375" style="143" customWidth="1"/>
    <col min="10248" max="10248" width="12.85546875" style="143" customWidth="1"/>
    <col min="10249" max="10496" width="9.140625" style="143"/>
    <col min="10497" max="10497" width="2" style="143" customWidth="1"/>
    <col min="10498" max="10498" width="1.7109375" style="143" customWidth="1"/>
    <col min="10499" max="10499" width="8" style="143" customWidth="1"/>
    <col min="10500" max="10500" width="63.85546875" style="143" customWidth="1"/>
    <col min="10501" max="10501" width="16" style="143" customWidth="1"/>
    <col min="10502" max="10502" width="40.7109375" style="143" customWidth="1"/>
    <col min="10503" max="10503" width="1.7109375" style="143" customWidth="1"/>
    <col min="10504" max="10504" width="12.85546875" style="143" customWidth="1"/>
    <col min="10505" max="10752" width="9.140625" style="143"/>
    <col min="10753" max="10753" width="2" style="143" customWidth="1"/>
    <col min="10754" max="10754" width="1.7109375" style="143" customWidth="1"/>
    <col min="10755" max="10755" width="8" style="143" customWidth="1"/>
    <col min="10756" max="10756" width="63.85546875" style="143" customWidth="1"/>
    <col min="10757" max="10757" width="16" style="143" customWidth="1"/>
    <col min="10758" max="10758" width="40.7109375" style="143" customWidth="1"/>
    <col min="10759" max="10759" width="1.7109375" style="143" customWidth="1"/>
    <col min="10760" max="10760" width="12.85546875" style="143" customWidth="1"/>
    <col min="10761" max="11008" width="9.140625" style="143"/>
    <col min="11009" max="11009" width="2" style="143" customWidth="1"/>
    <col min="11010" max="11010" width="1.7109375" style="143" customWidth="1"/>
    <col min="11011" max="11011" width="8" style="143" customWidth="1"/>
    <col min="11012" max="11012" width="63.85546875" style="143" customWidth="1"/>
    <col min="11013" max="11013" width="16" style="143" customWidth="1"/>
    <col min="11014" max="11014" width="40.7109375" style="143" customWidth="1"/>
    <col min="11015" max="11015" width="1.7109375" style="143" customWidth="1"/>
    <col min="11016" max="11016" width="12.85546875" style="143" customWidth="1"/>
    <col min="11017" max="11264" width="9.140625" style="143"/>
    <col min="11265" max="11265" width="2" style="143" customWidth="1"/>
    <col min="11266" max="11266" width="1.7109375" style="143" customWidth="1"/>
    <col min="11267" max="11267" width="8" style="143" customWidth="1"/>
    <col min="11268" max="11268" width="63.85546875" style="143" customWidth="1"/>
    <col min="11269" max="11269" width="16" style="143" customWidth="1"/>
    <col min="11270" max="11270" width="40.7109375" style="143" customWidth="1"/>
    <col min="11271" max="11271" width="1.7109375" style="143" customWidth="1"/>
    <col min="11272" max="11272" width="12.85546875" style="143" customWidth="1"/>
    <col min="11273" max="11520" width="9.140625" style="143"/>
    <col min="11521" max="11521" width="2" style="143" customWidth="1"/>
    <col min="11522" max="11522" width="1.7109375" style="143" customWidth="1"/>
    <col min="11523" max="11523" width="8" style="143" customWidth="1"/>
    <col min="11524" max="11524" width="63.85546875" style="143" customWidth="1"/>
    <col min="11525" max="11525" width="16" style="143" customWidth="1"/>
    <col min="11526" max="11526" width="40.7109375" style="143" customWidth="1"/>
    <col min="11527" max="11527" width="1.7109375" style="143" customWidth="1"/>
    <col min="11528" max="11528" width="12.85546875" style="143" customWidth="1"/>
    <col min="11529" max="11776" width="9.140625" style="143"/>
    <col min="11777" max="11777" width="2" style="143" customWidth="1"/>
    <col min="11778" max="11778" width="1.7109375" style="143" customWidth="1"/>
    <col min="11779" max="11779" width="8" style="143" customWidth="1"/>
    <col min="11780" max="11780" width="63.85546875" style="143" customWidth="1"/>
    <col min="11781" max="11781" width="16" style="143" customWidth="1"/>
    <col min="11782" max="11782" width="40.7109375" style="143" customWidth="1"/>
    <col min="11783" max="11783" width="1.7109375" style="143" customWidth="1"/>
    <col min="11784" max="11784" width="12.85546875" style="143" customWidth="1"/>
    <col min="11785" max="12032" width="9.140625" style="143"/>
    <col min="12033" max="12033" width="2" style="143" customWidth="1"/>
    <col min="12034" max="12034" width="1.7109375" style="143" customWidth="1"/>
    <col min="12035" max="12035" width="8" style="143" customWidth="1"/>
    <col min="12036" max="12036" width="63.85546875" style="143" customWidth="1"/>
    <col min="12037" max="12037" width="16" style="143" customWidth="1"/>
    <col min="12038" max="12038" width="40.7109375" style="143" customWidth="1"/>
    <col min="12039" max="12039" width="1.7109375" style="143" customWidth="1"/>
    <col min="12040" max="12040" width="12.85546875" style="143" customWidth="1"/>
    <col min="12041" max="12288" width="9.140625" style="143"/>
    <col min="12289" max="12289" width="2" style="143" customWidth="1"/>
    <col min="12290" max="12290" width="1.7109375" style="143" customWidth="1"/>
    <col min="12291" max="12291" width="8" style="143" customWidth="1"/>
    <col min="12292" max="12292" width="63.85546875" style="143" customWidth="1"/>
    <col min="12293" max="12293" width="16" style="143" customWidth="1"/>
    <col min="12294" max="12294" width="40.7109375" style="143" customWidth="1"/>
    <col min="12295" max="12295" width="1.7109375" style="143" customWidth="1"/>
    <col min="12296" max="12296" width="12.85546875" style="143" customWidth="1"/>
    <col min="12297" max="12544" width="9.140625" style="143"/>
    <col min="12545" max="12545" width="2" style="143" customWidth="1"/>
    <col min="12546" max="12546" width="1.7109375" style="143" customWidth="1"/>
    <col min="12547" max="12547" width="8" style="143" customWidth="1"/>
    <col min="12548" max="12548" width="63.85546875" style="143" customWidth="1"/>
    <col min="12549" max="12549" width="16" style="143" customWidth="1"/>
    <col min="12550" max="12550" width="40.7109375" style="143" customWidth="1"/>
    <col min="12551" max="12551" width="1.7109375" style="143" customWidth="1"/>
    <col min="12552" max="12552" width="12.85546875" style="143" customWidth="1"/>
    <col min="12553" max="12800" width="9.140625" style="143"/>
    <col min="12801" max="12801" width="2" style="143" customWidth="1"/>
    <col min="12802" max="12802" width="1.7109375" style="143" customWidth="1"/>
    <col min="12803" max="12803" width="8" style="143" customWidth="1"/>
    <col min="12804" max="12804" width="63.85546875" style="143" customWidth="1"/>
    <col min="12805" max="12805" width="16" style="143" customWidth="1"/>
    <col min="12806" max="12806" width="40.7109375" style="143" customWidth="1"/>
    <col min="12807" max="12807" width="1.7109375" style="143" customWidth="1"/>
    <col min="12808" max="12808" width="12.85546875" style="143" customWidth="1"/>
    <col min="12809" max="13056" width="9.140625" style="143"/>
    <col min="13057" max="13057" width="2" style="143" customWidth="1"/>
    <col min="13058" max="13058" width="1.7109375" style="143" customWidth="1"/>
    <col min="13059" max="13059" width="8" style="143" customWidth="1"/>
    <col min="13060" max="13060" width="63.85546875" style="143" customWidth="1"/>
    <col min="13061" max="13061" width="16" style="143" customWidth="1"/>
    <col min="13062" max="13062" width="40.7109375" style="143" customWidth="1"/>
    <col min="13063" max="13063" width="1.7109375" style="143" customWidth="1"/>
    <col min="13064" max="13064" width="12.85546875" style="143" customWidth="1"/>
    <col min="13065" max="13312" width="9.140625" style="143"/>
    <col min="13313" max="13313" width="2" style="143" customWidth="1"/>
    <col min="13314" max="13314" width="1.7109375" style="143" customWidth="1"/>
    <col min="13315" max="13315" width="8" style="143" customWidth="1"/>
    <col min="13316" max="13316" width="63.85546875" style="143" customWidth="1"/>
    <col min="13317" max="13317" width="16" style="143" customWidth="1"/>
    <col min="13318" max="13318" width="40.7109375" style="143" customWidth="1"/>
    <col min="13319" max="13319" width="1.7109375" style="143" customWidth="1"/>
    <col min="13320" max="13320" width="12.85546875" style="143" customWidth="1"/>
    <col min="13321" max="13568" width="9.140625" style="143"/>
    <col min="13569" max="13569" width="2" style="143" customWidth="1"/>
    <col min="13570" max="13570" width="1.7109375" style="143" customWidth="1"/>
    <col min="13571" max="13571" width="8" style="143" customWidth="1"/>
    <col min="13572" max="13572" width="63.85546875" style="143" customWidth="1"/>
    <col min="13573" max="13573" width="16" style="143" customWidth="1"/>
    <col min="13574" max="13574" width="40.7109375" style="143" customWidth="1"/>
    <col min="13575" max="13575" width="1.7109375" style="143" customWidth="1"/>
    <col min="13576" max="13576" width="12.85546875" style="143" customWidth="1"/>
    <col min="13577" max="13824" width="9.140625" style="143"/>
    <col min="13825" max="13825" width="2" style="143" customWidth="1"/>
    <col min="13826" max="13826" width="1.7109375" style="143" customWidth="1"/>
    <col min="13827" max="13827" width="8" style="143" customWidth="1"/>
    <col min="13828" max="13828" width="63.85546875" style="143" customWidth="1"/>
    <col min="13829" max="13829" width="16" style="143" customWidth="1"/>
    <col min="13830" max="13830" width="40.7109375" style="143" customWidth="1"/>
    <col min="13831" max="13831" width="1.7109375" style="143" customWidth="1"/>
    <col min="13832" max="13832" width="12.85546875" style="143" customWidth="1"/>
    <col min="13833" max="14080" width="9.140625" style="143"/>
    <col min="14081" max="14081" width="2" style="143" customWidth="1"/>
    <col min="14082" max="14082" width="1.7109375" style="143" customWidth="1"/>
    <col min="14083" max="14083" width="8" style="143" customWidth="1"/>
    <col min="14084" max="14084" width="63.85546875" style="143" customWidth="1"/>
    <col min="14085" max="14085" width="16" style="143" customWidth="1"/>
    <col min="14086" max="14086" width="40.7109375" style="143" customWidth="1"/>
    <col min="14087" max="14087" width="1.7109375" style="143" customWidth="1"/>
    <col min="14088" max="14088" width="12.85546875" style="143" customWidth="1"/>
    <col min="14089" max="14336" width="9.140625" style="143"/>
    <col min="14337" max="14337" width="2" style="143" customWidth="1"/>
    <col min="14338" max="14338" width="1.7109375" style="143" customWidth="1"/>
    <col min="14339" max="14339" width="8" style="143" customWidth="1"/>
    <col min="14340" max="14340" width="63.85546875" style="143" customWidth="1"/>
    <col min="14341" max="14341" width="16" style="143" customWidth="1"/>
    <col min="14342" max="14342" width="40.7109375" style="143" customWidth="1"/>
    <col min="14343" max="14343" width="1.7109375" style="143" customWidth="1"/>
    <col min="14344" max="14344" width="12.85546875" style="143" customWidth="1"/>
    <col min="14345" max="14592" width="9.140625" style="143"/>
    <col min="14593" max="14593" width="2" style="143" customWidth="1"/>
    <col min="14594" max="14594" width="1.7109375" style="143" customWidth="1"/>
    <col min="14595" max="14595" width="8" style="143" customWidth="1"/>
    <col min="14596" max="14596" width="63.85546875" style="143" customWidth="1"/>
    <col min="14597" max="14597" width="16" style="143" customWidth="1"/>
    <col min="14598" max="14598" width="40.7109375" style="143" customWidth="1"/>
    <col min="14599" max="14599" width="1.7109375" style="143" customWidth="1"/>
    <col min="14600" max="14600" width="12.85546875" style="143" customWidth="1"/>
    <col min="14601" max="14848" width="9.140625" style="143"/>
    <col min="14849" max="14849" width="2" style="143" customWidth="1"/>
    <col min="14850" max="14850" width="1.7109375" style="143" customWidth="1"/>
    <col min="14851" max="14851" width="8" style="143" customWidth="1"/>
    <col min="14852" max="14852" width="63.85546875" style="143" customWidth="1"/>
    <col min="14853" max="14853" width="16" style="143" customWidth="1"/>
    <col min="14854" max="14854" width="40.7109375" style="143" customWidth="1"/>
    <col min="14855" max="14855" width="1.7109375" style="143" customWidth="1"/>
    <col min="14856" max="14856" width="12.85546875" style="143" customWidth="1"/>
    <col min="14857" max="15104" width="9.140625" style="143"/>
    <col min="15105" max="15105" width="2" style="143" customWidth="1"/>
    <col min="15106" max="15106" width="1.7109375" style="143" customWidth="1"/>
    <col min="15107" max="15107" width="8" style="143" customWidth="1"/>
    <col min="15108" max="15108" width="63.85546875" style="143" customWidth="1"/>
    <col min="15109" max="15109" width="16" style="143" customWidth="1"/>
    <col min="15110" max="15110" width="40.7109375" style="143" customWidth="1"/>
    <col min="15111" max="15111" width="1.7109375" style="143" customWidth="1"/>
    <col min="15112" max="15112" width="12.85546875" style="143" customWidth="1"/>
    <col min="15113" max="15360" width="9.140625" style="143"/>
    <col min="15361" max="15361" width="2" style="143" customWidth="1"/>
    <col min="15362" max="15362" width="1.7109375" style="143" customWidth="1"/>
    <col min="15363" max="15363" width="8" style="143" customWidth="1"/>
    <col min="15364" max="15364" width="63.85546875" style="143" customWidth="1"/>
    <col min="15365" max="15365" width="16" style="143" customWidth="1"/>
    <col min="15366" max="15366" width="40.7109375" style="143" customWidth="1"/>
    <col min="15367" max="15367" width="1.7109375" style="143" customWidth="1"/>
    <col min="15368" max="15368" width="12.85546875" style="143" customWidth="1"/>
    <col min="15369" max="15616" width="9.140625" style="143"/>
    <col min="15617" max="15617" width="2" style="143" customWidth="1"/>
    <col min="15618" max="15618" width="1.7109375" style="143" customWidth="1"/>
    <col min="15619" max="15619" width="8" style="143" customWidth="1"/>
    <col min="15620" max="15620" width="63.85546875" style="143" customWidth="1"/>
    <col min="15621" max="15621" width="16" style="143" customWidth="1"/>
    <col min="15622" max="15622" width="40.7109375" style="143" customWidth="1"/>
    <col min="15623" max="15623" width="1.7109375" style="143" customWidth="1"/>
    <col min="15624" max="15624" width="12.85546875" style="143" customWidth="1"/>
    <col min="15625" max="15872" width="9.140625" style="143"/>
    <col min="15873" max="15873" width="2" style="143" customWidth="1"/>
    <col min="15874" max="15874" width="1.7109375" style="143" customWidth="1"/>
    <col min="15875" max="15875" width="8" style="143" customWidth="1"/>
    <col min="15876" max="15876" width="63.85546875" style="143" customWidth="1"/>
    <col min="15877" max="15877" width="16" style="143" customWidth="1"/>
    <col min="15878" max="15878" width="40.7109375" style="143" customWidth="1"/>
    <col min="15879" max="15879" width="1.7109375" style="143" customWidth="1"/>
    <col min="15880" max="15880" width="12.85546875" style="143" customWidth="1"/>
    <col min="15881" max="16128" width="9.140625" style="143"/>
    <col min="16129" max="16129" width="2" style="143" customWidth="1"/>
    <col min="16130" max="16130" width="1.7109375" style="143" customWidth="1"/>
    <col min="16131" max="16131" width="8" style="143" customWidth="1"/>
    <col min="16132" max="16132" width="63.85546875" style="143" customWidth="1"/>
    <col min="16133" max="16133" width="16" style="143" customWidth="1"/>
    <col min="16134" max="16134" width="40.7109375" style="143" customWidth="1"/>
    <col min="16135" max="16135" width="1.7109375" style="143" customWidth="1"/>
    <col min="16136" max="16136" width="12.85546875" style="143" customWidth="1"/>
    <col min="16137" max="16384" width="9.140625" style="143"/>
  </cols>
  <sheetData>
    <row r="1" spans="2:8">
      <c r="B1" s="144"/>
      <c r="C1" s="144"/>
      <c r="D1" s="144"/>
      <c r="E1" s="144"/>
      <c r="F1" s="144"/>
    </row>
    <row r="2" spans="2:8">
      <c r="B2" s="144"/>
      <c r="C2" s="145"/>
      <c r="D2" s="146"/>
      <c r="E2" s="146"/>
      <c r="F2" s="147"/>
    </row>
    <row r="3" spans="2:8">
      <c r="B3" s="144"/>
      <c r="C3" s="148"/>
      <c r="D3" s="149"/>
      <c r="E3" s="149"/>
      <c r="F3" s="150"/>
    </row>
    <row r="4" spans="2:8">
      <c r="B4" s="144"/>
      <c r="C4" s="148"/>
      <c r="D4" s="149"/>
      <c r="E4" s="149"/>
      <c r="F4" s="150"/>
    </row>
    <row r="5" spans="2:8">
      <c r="B5" s="144"/>
      <c r="C5" s="148"/>
      <c r="D5" s="149"/>
      <c r="E5" s="149"/>
      <c r="F5" s="150"/>
    </row>
    <row r="6" spans="2:8">
      <c r="B6" s="144"/>
      <c r="C6" s="148"/>
      <c r="D6" s="149"/>
      <c r="E6" s="149"/>
      <c r="F6" s="150"/>
    </row>
    <row r="7" spans="2:8">
      <c r="B7" s="144"/>
      <c r="C7" s="148"/>
      <c r="D7" s="149"/>
      <c r="E7" s="149"/>
      <c r="F7" s="150"/>
    </row>
    <row r="8" spans="2:8" ht="18" customHeight="1">
      <c r="B8" s="144"/>
      <c r="C8" s="437" t="s">
        <v>156</v>
      </c>
      <c r="D8" s="438"/>
      <c r="E8" s="438"/>
      <c r="F8" s="439"/>
    </row>
    <row r="9" spans="2:8" ht="18" customHeight="1">
      <c r="B9" s="144"/>
      <c r="C9" s="151"/>
      <c r="D9" s="152"/>
      <c r="E9" s="152"/>
      <c r="F9" s="153"/>
    </row>
    <row r="10" spans="2:8" s="141" customFormat="1">
      <c r="B10" s="154"/>
      <c r="C10" s="155" t="s">
        <v>5</v>
      </c>
      <c r="D10" s="156" t="s">
        <v>157</v>
      </c>
      <c r="E10" s="440" t="s">
        <v>362</v>
      </c>
      <c r="F10" s="441"/>
      <c r="H10" s="143"/>
    </row>
    <row r="11" spans="2:8" s="141" customFormat="1" ht="37.5" customHeight="1">
      <c r="B11" s="154"/>
      <c r="C11" s="155" t="s">
        <v>7</v>
      </c>
      <c r="D11" s="156" t="s">
        <v>158</v>
      </c>
      <c r="E11" s="442" t="s">
        <v>159</v>
      </c>
      <c r="F11" s="443"/>
      <c r="H11" s="143"/>
    </row>
    <row r="12" spans="2:8" s="141" customFormat="1">
      <c r="B12" s="154"/>
      <c r="C12" s="155" t="s">
        <v>10</v>
      </c>
      <c r="D12" s="156" t="s">
        <v>160</v>
      </c>
      <c r="E12" s="444" t="s">
        <v>161</v>
      </c>
      <c r="F12" s="430"/>
      <c r="H12" s="143"/>
    </row>
    <row r="13" spans="2:8" s="141" customFormat="1">
      <c r="B13" s="154"/>
      <c r="C13" s="155" t="s">
        <v>13</v>
      </c>
      <c r="D13" s="156" t="s">
        <v>162</v>
      </c>
      <c r="E13" s="429" t="s">
        <v>163</v>
      </c>
      <c r="F13" s="430"/>
      <c r="H13" s="143"/>
    </row>
    <row r="14" spans="2:8" s="141" customFormat="1">
      <c r="B14" s="154"/>
      <c r="C14" s="426" t="s">
        <v>164</v>
      </c>
      <c r="D14" s="427"/>
      <c r="E14" s="427"/>
      <c r="F14" s="428"/>
      <c r="H14" s="143"/>
    </row>
    <row r="15" spans="2:8" s="141" customFormat="1">
      <c r="B15" s="154"/>
      <c r="C15" s="155"/>
      <c r="D15" s="156" t="s">
        <v>165</v>
      </c>
      <c r="E15" s="429" t="s">
        <v>20</v>
      </c>
      <c r="F15" s="430"/>
      <c r="H15" s="143"/>
    </row>
    <row r="16" spans="2:8" s="141" customFormat="1">
      <c r="B16" s="154"/>
      <c r="C16" s="157"/>
      <c r="D16" s="431" t="s">
        <v>166</v>
      </c>
      <c r="E16" s="432"/>
      <c r="F16" s="433"/>
      <c r="H16" s="143"/>
    </row>
    <row r="17" spans="2:8" s="141" customFormat="1">
      <c r="B17" s="154"/>
      <c r="C17" s="434" t="s">
        <v>22</v>
      </c>
      <c r="D17" s="435"/>
      <c r="E17" s="435"/>
      <c r="F17" s="436"/>
      <c r="H17" s="143"/>
    </row>
    <row r="18" spans="2:8" s="141" customFormat="1">
      <c r="B18" s="154"/>
      <c r="C18" s="158">
        <v>1</v>
      </c>
      <c r="D18" s="159" t="s">
        <v>167</v>
      </c>
      <c r="E18" s="419" t="s">
        <v>168</v>
      </c>
      <c r="F18" s="420"/>
      <c r="H18" s="143"/>
    </row>
    <row r="19" spans="2:8" s="141" customFormat="1">
      <c r="B19" s="154"/>
      <c r="C19" s="158">
        <v>2</v>
      </c>
      <c r="D19" s="160" t="s">
        <v>169</v>
      </c>
      <c r="E19" s="415" t="s">
        <v>170</v>
      </c>
      <c r="F19" s="416"/>
      <c r="H19" s="143"/>
    </row>
    <row r="20" spans="2:8" s="141" customFormat="1">
      <c r="B20" s="154"/>
      <c r="C20" s="158">
        <v>3</v>
      </c>
      <c r="D20" s="159" t="s">
        <v>171</v>
      </c>
      <c r="E20" s="417">
        <v>1047</v>
      </c>
      <c r="F20" s="418"/>
      <c r="H20" s="143"/>
    </row>
    <row r="21" spans="2:8" s="141" customFormat="1">
      <c r="B21" s="154"/>
      <c r="C21" s="158">
        <v>4</v>
      </c>
      <c r="D21" s="159" t="s">
        <v>172</v>
      </c>
      <c r="E21" s="419" t="s">
        <v>173</v>
      </c>
      <c r="F21" s="420"/>
      <c r="H21" s="143"/>
    </row>
    <row r="22" spans="2:8">
      <c r="B22" s="144"/>
      <c r="C22" s="161">
        <v>5</v>
      </c>
      <c r="D22" s="162" t="s">
        <v>28</v>
      </c>
      <c r="E22" s="421">
        <v>43831</v>
      </c>
      <c r="F22" s="422"/>
    </row>
    <row r="23" spans="2:8">
      <c r="B23" s="144"/>
      <c r="C23" s="423" t="s">
        <v>174</v>
      </c>
      <c r="D23" s="424"/>
      <c r="E23" s="424"/>
      <c r="F23" s="425"/>
    </row>
    <row r="24" spans="2:8" ht="15.75" customHeight="1">
      <c r="B24" s="144"/>
      <c r="C24" s="163">
        <v>1</v>
      </c>
      <c r="D24" s="164" t="s">
        <v>31</v>
      </c>
      <c r="E24" s="165" t="s">
        <v>32</v>
      </c>
      <c r="F24" s="166" t="s">
        <v>33</v>
      </c>
    </row>
    <row r="25" spans="2:8">
      <c r="B25" s="144"/>
      <c r="C25" s="158" t="s">
        <v>5</v>
      </c>
      <c r="D25" s="167" t="s">
        <v>175</v>
      </c>
      <c r="E25" s="168">
        <v>1</v>
      </c>
      <c r="F25" s="169">
        <f>E20</f>
        <v>1047</v>
      </c>
    </row>
    <row r="26" spans="2:8">
      <c r="B26" s="144"/>
      <c r="C26" s="170"/>
      <c r="D26" s="171" t="s">
        <v>77</v>
      </c>
      <c r="E26" s="172"/>
      <c r="F26" s="173">
        <f>TRUNC(SUM(F25:F25),2)</f>
        <v>1047</v>
      </c>
    </row>
    <row r="27" spans="2:8">
      <c r="B27" s="144"/>
      <c r="C27" s="409" t="s">
        <v>176</v>
      </c>
      <c r="D27" s="410"/>
      <c r="E27" s="410"/>
      <c r="F27" s="411"/>
    </row>
    <row r="28" spans="2:8">
      <c r="B28" s="144"/>
      <c r="C28" s="163" t="s">
        <v>177</v>
      </c>
      <c r="D28" s="174" t="s">
        <v>178</v>
      </c>
      <c r="E28" s="175"/>
      <c r="F28" s="166" t="s">
        <v>33</v>
      </c>
    </row>
    <row r="29" spans="2:8">
      <c r="B29" s="144"/>
      <c r="C29" s="158" t="s">
        <v>5</v>
      </c>
      <c r="D29" s="160" t="s">
        <v>179</v>
      </c>
      <c r="E29" s="176">
        <v>8.3299999999999999E-2</v>
      </c>
      <c r="F29" s="177">
        <f>TRUNC(($F$26*E29),2)</f>
        <v>87.21</v>
      </c>
    </row>
    <row r="30" spans="2:8">
      <c r="B30" s="144"/>
      <c r="C30" s="158" t="s">
        <v>7</v>
      </c>
      <c r="D30" s="178" t="s">
        <v>180</v>
      </c>
      <c r="E30" s="179">
        <v>0.1111</v>
      </c>
      <c r="F30" s="177">
        <f>TRUNC(($F$26*E30),2)</f>
        <v>116.32</v>
      </c>
    </row>
    <row r="31" spans="2:8">
      <c r="B31" s="144"/>
      <c r="C31" s="170"/>
      <c r="D31" s="171" t="s">
        <v>77</v>
      </c>
      <c r="E31" s="180">
        <f>SUM(E29:E30)</f>
        <v>0.19439999999999999</v>
      </c>
      <c r="F31" s="181">
        <f>TRUNC(SUM(F29:F30),2)</f>
        <v>203.53</v>
      </c>
    </row>
    <row r="32" spans="2:8">
      <c r="B32" s="144"/>
      <c r="C32" s="158"/>
      <c r="D32" s="178"/>
      <c r="E32" s="182"/>
      <c r="F32" s="183"/>
    </row>
    <row r="33" spans="2:6" ht="25.5">
      <c r="B33" s="144"/>
      <c r="C33" s="184" t="s">
        <v>181</v>
      </c>
      <c r="D33" s="185" t="s">
        <v>182</v>
      </c>
      <c r="E33" s="186" t="s">
        <v>32</v>
      </c>
      <c r="F33" s="187" t="s">
        <v>33</v>
      </c>
    </row>
    <row r="34" spans="2:6">
      <c r="B34" s="144"/>
      <c r="C34" s="158" t="s">
        <v>5</v>
      </c>
      <c r="D34" s="167" t="s">
        <v>183</v>
      </c>
      <c r="E34" s="188">
        <v>0.2</v>
      </c>
      <c r="F34" s="189">
        <f t="shared" ref="F34:F41" si="0">TRUNC((($F$26+$F$31)*E34),2)</f>
        <v>250.1</v>
      </c>
    </row>
    <row r="35" spans="2:6">
      <c r="B35" s="144"/>
      <c r="C35" s="158" t="s">
        <v>7</v>
      </c>
      <c r="D35" s="167" t="s">
        <v>184</v>
      </c>
      <c r="E35" s="188">
        <v>2.5000000000000001E-2</v>
      </c>
      <c r="F35" s="189">
        <f t="shared" si="0"/>
        <v>31.26</v>
      </c>
    </row>
    <row r="36" spans="2:6">
      <c r="B36" s="144"/>
      <c r="C36" s="158" t="s">
        <v>10</v>
      </c>
      <c r="D36" s="167" t="s">
        <v>185</v>
      </c>
      <c r="E36" s="188">
        <v>1.6799999999999999E-2</v>
      </c>
      <c r="F36" s="189">
        <f t="shared" si="0"/>
        <v>21</v>
      </c>
    </row>
    <row r="37" spans="2:6">
      <c r="B37" s="144"/>
      <c r="C37" s="158" t="s">
        <v>13</v>
      </c>
      <c r="D37" s="167" t="s">
        <v>186</v>
      </c>
      <c r="E37" s="188">
        <v>1.4999999999999999E-2</v>
      </c>
      <c r="F37" s="189">
        <f t="shared" si="0"/>
        <v>18.75</v>
      </c>
    </row>
    <row r="38" spans="2:6">
      <c r="B38" s="144"/>
      <c r="C38" s="158" t="s">
        <v>38</v>
      </c>
      <c r="D38" s="167" t="s">
        <v>187</v>
      </c>
      <c r="E38" s="188">
        <v>0.01</v>
      </c>
      <c r="F38" s="189">
        <f t="shared" si="0"/>
        <v>12.5</v>
      </c>
    </row>
    <row r="39" spans="2:6">
      <c r="B39" s="144"/>
      <c r="C39" s="158" t="s">
        <v>40</v>
      </c>
      <c r="D39" s="167" t="s">
        <v>188</v>
      </c>
      <c r="E39" s="188">
        <v>6.0000000000000001E-3</v>
      </c>
      <c r="F39" s="189">
        <f t="shared" si="0"/>
        <v>7.5</v>
      </c>
    </row>
    <row r="40" spans="2:6">
      <c r="B40" s="144"/>
      <c r="C40" s="158" t="s">
        <v>42</v>
      </c>
      <c r="D40" s="167" t="s">
        <v>189</v>
      </c>
      <c r="E40" s="188">
        <v>2E-3</v>
      </c>
      <c r="F40" s="189">
        <f t="shared" si="0"/>
        <v>2.5</v>
      </c>
    </row>
    <row r="41" spans="2:6">
      <c r="B41" s="144"/>
      <c r="C41" s="158" t="s">
        <v>44</v>
      </c>
      <c r="D41" s="167" t="s">
        <v>74</v>
      </c>
      <c r="E41" s="188">
        <v>0.08</v>
      </c>
      <c r="F41" s="189">
        <f t="shared" si="0"/>
        <v>100.04</v>
      </c>
    </row>
    <row r="42" spans="2:6">
      <c r="B42" s="144"/>
      <c r="C42" s="412" t="s">
        <v>77</v>
      </c>
      <c r="D42" s="405"/>
      <c r="E42" s="191">
        <f>SUM(E34:E41)</f>
        <v>0.3548</v>
      </c>
      <c r="F42" s="192">
        <f>TRUNC(SUM(F34:F41),2)</f>
        <v>443.65</v>
      </c>
    </row>
    <row r="43" spans="2:6" ht="11.1" customHeight="1">
      <c r="B43" s="144"/>
      <c r="C43" s="158"/>
      <c r="D43" s="167"/>
      <c r="E43" s="193"/>
      <c r="F43" s="183"/>
    </row>
    <row r="44" spans="2:6">
      <c r="B44" s="144"/>
      <c r="C44" s="184" t="s">
        <v>190</v>
      </c>
      <c r="D44" s="387" t="s">
        <v>48</v>
      </c>
      <c r="E44" s="373"/>
      <c r="F44" s="187" t="s">
        <v>33</v>
      </c>
    </row>
    <row r="45" spans="2:6" ht="16.5" customHeight="1">
      <c r="B45" s="144"/>
      <c r="C45" s="158" t="s">
        <v>5</v>
      </c>
      <c r="D45" s="413" t="s">
        <v>191</v>
      </c>
      <c r="E45" s="414"/>
      <c r="F45" s="194" t="s">
        <v>192</v>
      </c>
    </row>
    <row r="46" spans="2:6" ht="17.25" customHeight="1">
      <c r="B46" s="144"/>
      <c r="C46" s="158" t="s">
        <v>7</v>
      </c>
      <c r="D46" s="402" t="s">
        <v>193</v>
      </c>
      <c r="E46" s="403"/>
      <c r="F46" s="195">
        <f>TRUNC(((12.5)*21)*90%,2)</f>
        <v>236.25</v>
      </c>
    </row>
    <row r="47" spans="2:6" ht="17.25" customHeight="1">
      <c r="B47" s="144"/>
      <c r="C47" s="158" t="s">
        <v>10</v>
      </c>
      <c r="D47" s="402" t="s">
        <v>194</v>
      </c>
      <c r="E47" s="403"/>
      <c r="F47" s="196">
        <v>3.5</v>
      </c>
    </row>
    <row r="48" spans="2:6" ht="17.25" customHeight="1">
      <c r="B48" s="144"/>
      <c r="C48" s="158" t="s">
        <v>13</v>
      </c>
      <c r="D48" s="402" t="s">
        <v>195</v>
      </c>
      <c r="E48" s="403"/>
      <c r="F48" s="196">
        <v>15</v>
      </c>
    </row>
    <row r="49" spans="2:8">
      <c r="B49" s="144"/>
      <c r="C49" s="197"/>
      <c r="D49" s="404" t="s">
        <v>77</v>
      </c>
      <c r="E49" s="405"/>
      <c r="F49" s="181">
        <f>TRUNC(SUM(F45:F48),2)</f>
        <v>254.75</v>
      </c>
    </row>
    <row r="50" spans="2:8">
      <c r="B50" s="144"/>
      <c r="C50" s="391"/>
      <c r="D50" s="392"/>
      <c r="E50" s="400"/>
      <c r="F50" s="393"/>
    </row>
    <row r="51" spans="2:8" ht="32.25" customHeight="1">
      <c r="B51" s="144"/>
      <c r="C51" s="184">
        <v>2</v>
      </c>
      <c r="D51" s="198" t="s">
        <v>196</v>
      </c>
      <c r="E51" s="199" t="s">
        <v>32</v>
      </c>
      <c r="F51" s="187" t="s">
        <v>33</v>
      </c>
    </row>
    <row r="52" spans="2:8">
      <c r="B52" s="144"/>
      <c r="C52" s="158" t="s">
        <v>177</v>
      </c>
      <c r="D52" s="160" t="s">
        <v>178</v>
      </c>
      <c r="E52" s="176">
        <f>E31</f>
        <v>0.19439999999999999</v>
      </c>
      <c r="F52" s="183">
        <f>F31</f>
        <v>203.53</v>
      </c>
    </row>
    <row r="53" spans="2:8">
      <c r="B53" s="144"/>
      <c r="C53" s="158" t="s">
        <v>181</v>
      </c>
      <c r="D53" s="178" t="s">
        <v>197</v>
      </c>
      <c r="E53" s="179">
        <f>E42</f>
        <v>0.3548</v>
      </c>
      <c r="F53" s="183">
        <f>F42</f>
        <v>443.65</v>
      </c>
    </row>
    <row r="54" spans="2:8">
      <c r="B54" s="144"/>
      <c r="C54" s="158" t="s">
        <v>190</v>
      </c>
      <c r="D54" s="178" t="s">
        <v>48</v>
      </c>
      <c r="E54" s="200"/>
      <c r="F54" s="183">
        <f>F49</f>
        <v>254.75</v>
      </c>
    </row>
    <row r="55" spans="2:8">
      <c r="B55" s="144"/>
      <c r="C55" s="197"/>
      <c r="D55" s="190" t="s">
        <v>77</v>
      </c>
      <c r="E55" s="201"/>
      <c r="F55" s="181">
        <f>SUM(F52:F54)</f>
        <v>901.93</v>
      </c>
    </row>
    <row r="56" spans="2:8">
      <c r="B56" s="144"/>
      <c r="C56" s="406"/>
      <c r="D56" s="407"/>
      <c r="E56" s="407"/>
      <c r="F56" s="408"/>
    </row>
    <row r="57" spans="2:8">
      <c r="B57" s="144"/>
      <c r="C57" s="396" t="s">
        <v>198</v>
      </c>
      <c r="D57" s="397"/>
      <c r="E57" s="397"/>
      <c r="F57" s="398"/>
    </row>
    <row r="58" spans="2:8">
      <c r="B58" s="144"/>
      <c r="C58" s="163">
        <v>3</v>
      </c>
      <c r="D58" s="174" t="s">
        <v>199</v>
      </c>
      <c r="E58" s="202" t="s">
        <v>32</v>
      </c>
      <c r="F58" s="166" t="s">
        <v>33</v>
      </c>
    </row>
    <row r="59" spans="2:8" s="142" customFormat="1">
      <c r="B59" s="203"/>
      <c r="C59" s="204" t="s">
        <v>5</v>
      </c>
      <c r="D59" s="205" t="s">
        <v>90</v>
      </c>
      <c r="E59" s="206">
        <v>4.1999999999999997E-3</v>
      </c>
      <c r="F59" s="189">
        <f>TRUNC(((F26+F31+F41+F49)*E59),2)</f>
        <v>6.74</v>
      </c>
      <c r="G59" s="207"/>
      <c r="H59" s="208"/>
    </row>
    <row r="60" spans="2:8" s="142" customFormat="1">
      <c r="B60" s="203"/>
      <c r="C60" s="204" t="s">
        <v>7</v>
      </c>
      <c r="D60" s="205" t="s">
        <v>200</v>
      </c>
      <c r="E60" s="206">
        <f>'[1]Encargos Sociais e Benefícios'!$C$31</f>
        <v>0</v>
      </c>
      <c r="F60" s="189">
        <v>0</v>
      </c>
      <c r="G60" s="207"/>
      <c r="H60" s="208"/>
    </row>
    <row r="61" spans="2:8" s="142" customFormat="1">
      <c r="B61" s="203"/>
      <c r="C61" s="204" t="s">
        <v>10</v>
      </c>
      <c r="D61" s="205" t="s">
        <v>201</v>
      </c>
      <c r="E61" s="206">
        <v>0.04</v>
      </c>
      <c r="F61" s="189">
        <f>TRUNC((E61*F26),2)</f>
        <v>41.88</v>
      </c>
      <c r="G61" s="207"/>
      <c r="H61" s="208"/>
    </row>
    <row r="62" spans="2:8" s="142" customFormat="1">
      <c r="B62" s="203"/>
      <c r="C62" s="204" t="s">
        <v>13</v>
      </c>
      <c r="D62" s="205" t="s">
        <v>202</v>
      </c>
      <c r="E62" s="206">
        <v>1.8499999999999999E-2</v>
      </c>
      <c r="F62" s="189">
        <f>TRUNC(((F26+F55)*E62),2)</f>
        <v>36.049999999999997</v>
      </c>
      <c r="G62" s="207"/>
      <c r="H62" s="208"/>
    </row>
    <row r="63" spans="2:8" s="142" customFormat="1" ht="30" customHeight="1">
      <c r="B63" s="203"/>
      <c r="C63" s="204" t="s">
        <v>38</v>
      </c>
      <c r="D63" s="205" t="s">
        <v>203</v>
      </c>
      <c r="E63" s="206">
        <f>'[1]Encargos Sociais e Benefícios'!C34</f>
        <v>0</v>
      </c>
      <c r="F63" s="189">
        <v>0</v>
      </c>
      <c r="G63" s="207"/>
      <c r="H63" s="208"/>
    </row>
    <row r="64" spans="2:8" s="142" customFormat="1">
      <c r="B64" s="203"/>
      <c r="C64" s="204" t="s">
        <v>40</v>
      </c>
      <c r="D64" s="205" t="s">
        <v>204</v>
      </c>
      <c r="E64" s="206">
        <f>'[1]Encargos Sociais e Benefícios'!C35</f>
        <v>0</v>
      </c>
      <c r="F64" s="189">
        <f>TRUNC(($F$26*'[1]Encargos Sociais e Benefícios'!C35),2)</f>
        <v>0</v>
      </c>
      <c r="G64" s="207"/>
      <c r="H64" s="208"/>
    </row>
    <row r="65" spans="2:6">
      <c r="B65" s="144"/>
      <c r="C65" s="382" t="s">
        <v>77</v>
      </c>
      <c r="D65" s="383"/>
      <c r="E65" s="209">
        <f>SUM(E59:E64)</f>
        <v>6.2700000000000006E-2</v>
      </c>
      <c r="F65" s="192">
        <f>TRUNC(SUM(F59:F64),2)</f>
        <v>84.67</v>
      </c>
    </row>
    <row r="66" spans="2:6">
      <c r="B66" s="144"/>
      <c r="C66" s="399"/>
      <c r="D66" s="400"/>
      <c r="E66" s="400"/>
      <c r="F66" s="401"/>
    </row>
    <row r="67" spans="2:6">
      <c r="B67" s="144"/>
      <c r="C67" s="396" t="s">
        <v>205</v>
      </c>
      <c r="D67" s="397"/>
      <c r="E67" s="397"/>
      <c r="F67" s="398"/>
    </row>
    <row r="68" spans="2:6">
      <c r="B68" s="144"/>
      <c r="C68" s="163" t="s">
        <v>67</v>
      </c>
      <c r="D68" s="210" t="s">
        <v>206</v>
      </c>
      <c r="E68" s="202" t="s">
        <v>32</v>
      </c>
      <c r="F68" s="211" t="s">
        <v>33</v>
      </c>
    </row>
    <row r="69" spans="2:6">
      <c r="B69" s="144"/>
      <c r="C69" s="158" t="s">
        <v>5</v>
      </c>
      <c r="D69" s="160" t="s">
        <v>207</v>
      </c>
      <c r="E69" s="212">
        <v>5.7500000000000002E-2</v>
      </c>
      <c r="F69" s="213">
        <f t="shared" ref="F69:F74" si="1">TRUNC((($F$26+$F$55+$F$65)*E69),2)</f>
        <v>116.93</v>
      </c>
    </row>
    <row r="70" spans="2:6">
      <c r="B70" s="144"/>
      <c r="C70" s="158" t="s">
        <v>7</v>
      </c>
      <c r="D70" s="160" t="s">
        <v>206</v>
      </c>
      <c r="E70" s="206">
        <v>1E-3</v>
      </c>
      <c r="F70" s="213">
        <f t="shared" si="1"/>
        <v>2.0299999999999998</v>
      </c>
    </row>
    <row r="71" spans="2:6">
      <c r="B71" s="144"/>
      <c r="C71" s="158" t="s">
        <v>10</v>
      </c>
      <c r="D71" s="160" t="s">
        <v>208</v>
      </c>
      <c r="E71" s="206">
        <v>1E-3</v>
      </c>
      <c r="F71" s="213">
        <f t="shared" si="1"/>
        <v>2.0299999999999998</v>
      </c>
    </row>
    <row r="72" spans="2:6">
      <c r="B72" s="144"/>
      <c r="C72" s="158" t="s">
        <v>13</v>
      </c>
      <c r="D72" s="160" t="s">
        <v>209</v>
      </c>
      <c r="E72" s="206">
        <v>1E-3</v>
      </c>
      <c r="F72" s="213">
        <f t="shared" si="1"/>
        <v>2.0299999999999998</v>
      </c>
    </row>
    <row r="73" spans="2:6">
      <c r="B73" s="144"/>
      <c r="C73" s="158" t="s">
        <v>38</v>
      </c>
      <c r="D73" s="160" t="s">
        <v>84</v>
      </c>
      <c r="E73" s="206">
        <v>1E-3</v>
      </c>
      <c r="F73" s="213">
        <f t="shared" si="1"/>
        <v>2.0299999999999998</v>
      </c>
    </row>
    <row r="74" spans="2:6">
      <c r="B74" s="144"/>
      <c r="C74" s="158" t="s">
        <v>40</v>
      </c>
      <c r="D74" s="160" t="s">
        <v>55</v>
      </c>
      <c r="E74" s="206">
        <v>0</v>
      </c>
      <c r="F74" s="213">
        <f t="shared" si="1"/>
        <v>0</v>
      </c>
    </row>
    <row r="75" spans="2:6" ht="16.5" customHeight="1">
      <c r="B75" s="144"/>
      <c r="C75" s="382" t="s">
        <v>77</v>
      </c>
      <c r="D75" s="390"/>
      <c r="E75" s="214">
        <f>SUM(E69:E74)</f>
        <v>6.1499999999999999E-2</v>
      </c>
      <c r="F75" s="192">
        <f>TRUNC(SUM(F69:F74),2)</f>
        <v>125.05</v>
      </c>
    </row>
    <row r="76" spans="2:6">
      <c r="B76" s="144"/>
      <c r="C76" s="391"/>
      <c r="D76" s="392"/>
      <c r="E76" s="392"/>
      <c r="F76" s="393"/>
    </row>
    <row r="77" spans="2:6">
      <c r="B77" s="144"/>
      <c r="C77" s="391"/>
      <c r="D77" s="392"/>
      <c r="E77" s="392"/>
      <c r="F77" s="393"/>
    </row>
    <row r="78" spans="2:6" ht="40.5" customHeight="1">
      <c r="B78" s="144"/>
      <c r="C78" s="184">
        <v>4</v>
      </c>
      <c r="D78" s="387" t="s">
        <v>210</v>
      </c>
      <c r="E78" s="373"/>
      <c r="F78" s="187" t="s">
        <v>33</v>
      </c>
    </row>
    <row r="79" spans="2:6">
      <c r="B79" s="144"/>
      <c r="C79" s="158" t="s">
        <v>67</v>
      </c>
      <c r="D79" s="160" t="s">
        <v>211</v>
      </c>
      <c r="E79" s="215"/>
      <c r="F79" s="183">
        <f>F75</f>
        <v>125.05</v>
      </c>
    </row>
    <row r="80" spans="2:6">
      <c r="B80" s="144"/>
      <c r="C80" s="216"/>
      <c r="D80" s="394" t="s">
        <v>77</v>
      </c>
      <c r="E80" s="395"/>
      <c r="F80" s="181">
        <f>TRUNC(SUM(F79:F79),2)</f>
        <v>125.05</v>
      </c>
    </row>
    <row r="81" spans="2:6">
      <c r="B81" s="144"/>
      <c r="C81" s="396" t="s">
        <v>212</v>
      </c>
      <c r="D81" s="397"/>
      <c r="E81" s="397"/>
      <c r="F81" s="398"/>
    </row>
    <row r="82" spans="2:6">
      <c r="B82" s="144"/>
      <c r="C82" s="163">
        <v>5</v>
      </c>
      <c r="D82" s="388" t="s">
        <v>58</v>
      </c>
      <c r="E82" s="389"/>
      <c r="F82" s="166" t="s">
        <v>33</v>
      </c>
    </row>
    <row r="83" spans="2:6">
      <c r="B83" s="144"/>
      <c r="C83" s="158" t="s">
        <v>5</v>
      </c>
      <c r="D83" s="369" t="s">
        <v>213</v>
      </c>
      <c r="E83" s="370"/>
      <c r="F83" s="217">
        <v>25</v>
      </c>
    </row>
    <row r="84" spans="2:6">
      <c r="B84" s="144"/>
      <c r="C84" s="158" t="s">
        <v>7</v>
      </c>
      <c r="D84" s="369" t="s">
        <v>363</v>
      </c>
      <c r="E84" s="370"/>
      <c r="F84" s="183">
        <v>0</v>
      </c>
    </row>
    <row r="85" spans="2:6">
      <c r="B85" s="144"/>
      <c r="C85" s="158" t="s">
        <v>10</v>
      </c>
      <c r="D85" s="369"/>
      <c r="E85" s="370"/>
      <c r="F85" s="183">
        <v>0</v>
      </c>
    </row>
    <row r="86" spans="2:6" ht="16.5" customHeight="1">
      <c r="B86" s="144"/>
      <c r="C86" s="382" t="s">
        <v>77</v>
      </c>
      <c r="D86" s="390"/>
      <c r="E86" s="383"/>
      <c r="F86" s="192">
        <f>TRUNC(SUM(F83:F85),2)</f>
        <v>25</v>
      </c>
    </row>
    <row r="87" spans="2:6">
      <c r="B87" s="144"/>
      <c r="C87" s="376"/>
      <c r="D87" s="377"/>
      <c r="E87" s="377"/>
      <c r="F87" s="378"/>
    </row>
    <row r="88" spans="2:6">
      <c r="B88" s="144"/>
      <c r="C88" s="379" t="s">
        <v>214</v>
      </c>
      <c r="D88" s="380"/>
      <c r="E88" s="380"/>
      <c r="F88" s="381"/>
    </row>
    <row r="89" spans="2:6">
      <c r="B89" s="144"/>
      <c r="C89" s="163">
        <v>6</v>
      </c>
      <c r="D89" s="218" t="s">
        <v>115</v>
      </c>
      <c r="E89" s="165" t="s">
        <v>32</v>
      </c>
      <c r="F89" s="166" t="s">
        <v>33</v>
      </c>
    </row>
    <row r="90" spans="2:6">
      <c r="B90" s="144"/>
      <c r="C90" s="158" t="s">
        <v>5</v>
      </c>
      <c r="D90" s="167" t="s">
        <v>215</v>
      </c>
      <c r="E90" s="219">
        <v>5.0000000000000001E-3</v>
      </c>
      <c r="F90" s="220">
        <f>TRUNC((E90*F109),2)</f>
        <v>10.91</v>
      </c>
    </row>
    <row r="91" spans="2:6">
      <c r="B91" s="144"/>
      <c r="C91" s="158" t="s">
        <v>7</v>
      </c>
      <c r="D91" s="167" t="s">
        <v>126</v>
      </c>
      <c r="E91" s="219">
        <v>5.0000000000000001E-3</v>
      </c>
      <c r="F91" s="220">
        <f>TRUNC((F109*E91),2)</f>
        <v>10.91</v>
      </c>
    </row>
    <row r="92" spans="2:6">
      <c r="B92" s="144"/>
      <c r="C92" s="158" t="s">
        <v>10</v>
      </c>
      <c r="D92" s="167" t="s">
        <v>117</v>
      </c>
      <c r="E92" s="221"/>
      <c r="F92" s="220"/>
    </row>
    <row r="93" spans="2:6">
      <c r="B93" s="144"/>
      <c r="C93" s="222"/>
      <c r="D93" s="185" t="s">
        <v>216</v>
      </c>
      <c r="E93" s="221"/>
      <c r="F93" s="223"/>
    </row>
    <row r="94" spans="2:6">
      <c r="B94" s="144"/>
      <c r="C94" s="222"/>
      <c r="D94" s="167" t="s">
        <v>217</v>
      </c>
      <c r="E94" s="219">
        <v>1.37E-2</v>
      </c>
      <c r="F94" s="220">
        <f>TRUNC(((F90+F91+F109)/E101*E94),2)</f>
        <v>34.590000000000003</v>
      </c>
    </row>
    <row r="95" spans="2:6">
      <c r="B95" s="144"/>
      <c r="C95" s="222"/>
      <c r="D95" s="167" t="s">
        <v>218</v>
      </c>
      <c r="E95" s="219">
        <v>6.2899999999999998E-2</v>
      </c>
      <c r="F95" s="220">
        <f>TRUNC(((F90+F91+F109)/E101*E95),2)</f>
        <v>158.83000000000001</v>
      </c>
    </row>
    <row r="96" spans="2:6">
      <c r="B96" s="144"/>
      <c r="C96" s="222"/>
      <c r="D96" s="185" t="s">
        <v>219</v>
      </c>
      <c r="E96" s="221"/>
      <c r="F96" s="220"/>
    </row>
    <row r="97" spans="2:6">
      <c r="B97" s="144"/>
      <c r="C97" s="222"/>
      <c r="D97" s="167" t="s">
        <v>220</v>
      </c>
      <c r="E97" s="219">
        <v>0.05</v>
      </c>
      <c r="F97" s="220">
        <f>TRUNC((F90+F91+F109)/E101*E97,2)</f>
        <v>126.25</v>
      </c>
    </row>
    <row r="98" spans="2:6">
      <c r="B98" s="144"/>
      <c r="C98" s="222"/>
      <c r="D98" s="185" t="s">
        <v>221</v>
      </c>
      <c r="E98" s="221"/>
      <c r="F98" s="223"/>
    </row>
    <row r="99" spans="2:6">
      <c r="B99" s="144"/>
      <c r="C99" s="222"/>
      <c r="D99" s="248"/>
      <c r="E99" s="219"/>
      <c r="F99" s="220">
        <f>TRUNC((F90+F91+F109)/E101*E99,2)</f>
        <v>0</v>
      </c>
    </row>
    <row r="100" spans="2:6">
      <c r="B100" s="144"/>
      <c r="C100" s="382" t="s">
        <v>77</v>
      </c>
      <c r="D100" s="383"/>
      <c r="E100" s="224">
        <f>SUM(E90:E99)</f>
        <v>0.1366</v>
      </c>
      <c r="F100" s="225">
        <f>TRUNC(SUM(F90:F99),2)</f>
        <v>341.49</v>
      </c>
    </row>
    <row r="101" spans="2:6">
      <c r="B101" s="144"/>
      <c r="C101" s="226">
        <f>SUM(E94:E99)</f>
        <v>0.12659999999999999</v>
      </c>
      <c r="D101" s="227" t="s">
        <v>222</v>
      </c>
      <c r="E101" s="228">
        <f>1-C101/1</f>
        <v>0.87339999999999995</v>
      </c>
      <c r="F101" s="229"/>
    </row>
    <row r="102" spans="2:6">
      <c r="B102" s="144"/>
      <c r="C102" s="384" t="s">
        <v>223</v>
      </c>
      <c r="D102" s="385"/>
      <c r="E102" s="385"/>
      <c r="F102" s="386"/>
    </row>
    <row r="103" spans="2:6" ht="30" customHeight="1">
      <c r="B103" s="144"/>
      <c r="C103" s="230"/>
      <c r="D103" s="387" t="s">
        <v>224</v>
      </c>
      <c r="E103" s="373"/>
      <c r="F103" s="187" t="s">
        <v>33</v>
      </c>
    </row>
    <row r="104" spans="2:6">
      <c r="B104" s="144"/>
      <c r="C104" s="158" t="s">
        <v>5</v>
      </c>
      <c r="D104" s="375" t="s">
        <v>225</v>
      </c>
      <c r="E104" s="375"/>
      <c r="F104" s="183">
        <f>F26</f>
        <v>1047</v>
      </c>
    </row>
    <row r="105" spans="2:6">
      <c r="B105" s="144"/>
      <c r="C105" s="158" t="s">
        <v>7</v>
      </c>
      <c r="D105" s="375" t="s">
        <v>226</v>
      </c>
      <c r="E105" s="375"/>
      <c r="F105" s="183">
        <f>F55</f>
        <v>901.93</v>
      </c>
    </row>
    <row r="106" spans="2:6">
      <c r="B106" s="144"/>
      <c r="C106" s="158" t="s">
        <v>10</v>
      </c>
      <c r="D106" s="375" t="s">
        <v>227</v>
      </c>
      <c r="E106" s="375"/>
      <c r="F106" s="183">
        <f>F65</f>
        <v>84.67</v>
      </c>
    </row>
    <row r="107" spans="2:6">
      <c r="B107" s="144"/>
      <c r="C107" s="158" t="s">
        <v>13</v>
      </c>
      <c r="D107" s="369" t="s">
        <v>228</v>
      </c>
      <c r="E107" s="370"/>
      <c r="F107" s="183">
        <f>F80</f>
        <v>125.05</v>
      </c>
    </row>
    <row r="108" spans="2:6">
      <c r="B108" s="144"/>
      <c r="C108" s="158" t="s">
        <v>38</v>
      </c>
      <c r="D108" s="375" t="s">
        <v>229</v>
      </c>
      <c r="E108" s="375"/>
      <c r="F108" s="183">
        <f>F86</f>
        <v>25</v>
      </c>
    </row>
    <row r="109" spans="2:6">
      <c r="B109" s="144"/>
      <c r="C109" s="366" t="s">
        <v>230</v>
      </c>
      <c r="D109" s="367"/>
      <c r="E109" s="368"/>
      <c r="F109" s="231">
        <f>TRUNC(SUM(F104:F108),2)</f>
        <v>2183.65</v>
      </c>
    </row>
    <row r="110" spans="2:6">
      <c r="B110" s="144"/>
      <c r="C110" s="158" t="s">
        <v>40</v>
      </c>
      <c r="D110" s="369" t="s">
        <v>231</v>
      </c>
      <c r="E110" s="370"/>
      <c r="F110" s="232">
        <f>F100</f>
        <v>341.49</v>
      </c>
    </row>
    <row r="111" spans="2:6">
      <c r="B111" s="144"/>
      <c r="C111" s="371" t="s">
        <v>232</v>
      </c>
      <c r="D111" s="372"/>
      <c r="E111" s="373"/>
      <c r="F111" s="233">
        <f>SUM(F109:F110)</f>
        <v>2525.14</v>
      </c>
    </row>
    <row r="112" spans="2:6">
      <c r="B112" s="144"/>
      <c r="C112" s="234"/>
      <c r="D112" s="235"/>
      <c r="E112" s="235"/>
      <c r="F112" s="236"/>
    </row>
    <row r="113" spans="3:6">
      <c r="C113" s="374"/>
      <c r="D113" s="374"/>
      <c r="E113" s="374"/>
      <c r="F113" s="374"/>
    </row>
  </sheetData>
  <sheetProtection algorithmName="SHA-512" hashValue="AGOUlZ4idPjCicNa18vS3jOZ69GWep2samb1NNAW4yXrpsvcfIof4JTts5k1aahjA1ONIJMORQUSLiY5ULIIuA==" saltValue="jrS+qMXca/r9j/bCyOChFQ==" spinCount="100000" sheet="1" formatCells="0"/>
  <mergeCells count="54">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5:E45"/>
    <mergeCell ref="D46:E46"/>
    <mergeCell ref="D47:E47"/>
    <mergeCell ref="D48:E48"/>
    <mergeCell ref="D49:E49"/>
    <mergeCell ref="C50:F50"/>
    <mergeCell ref="C56:F56"/>
    <mergeCell ref="C57:F57"/>
    <mergeCell ref="C65:D65"/>
    <mergeCell ref="C66:F66"/>
    <mergeCell ref="C67:F67"/>
    <mergeCell ref="C75:D75"/>
    <mergeCell ref="C76:F76"/>
    <mergeCell ref="C77:F77"/>
    <mergeCell ref="D78:E78"/>
    <mergeCell ref="D80:E80"/>
    <mergeCell ref="C81:F81"/>
    <mergeCell ref="D82:E82"/>
    <mergeCell ref="D83:E83"/>
    <mergeCell ref="D84:E84"/>
    <mergeCell ref="D85:E85"/>
    <mergeCell ref="C86:E86"/>
    <mergeCell ref="C87:F87"/>
    <mergeCell ref="C88:F88"/>
    <mergeCell ref="C100:D100"/>
    <mergeCell ref="C102:F102"/>
    <mergeCell ref="D103:E103"/>
    <mergeCell ref="C109:E109"/>
    <mergeCell ref="D110:E110"/>
    <mergeCell ref="C111:E111"/>
    <mergeCell ref="C113:F113"/>
    <mergeCell ref="D104:E104"/>
    <mergeCell ref="D105:E105"/>
    <mergeCell ref="D106:E106"/>
    <mergeCell ref="D107:E107"/>
    <mergeCell ref="D108:E108"/>
  </mergeCell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4E13"/>
    <pageSetUpPr fitToPage="1"/>
  </sheetPr>
  <dimension ref="A1:N992"/>
  <sheetViews>
    <sheetView tabSelected="1" topLeftCell="A25" zoomScale="80" zoomScaleNormal="80" workbookViewId="0">
      <selection activeCell="K39" sqref="K39:M39"/>
    </sheetView>
  </sheetViews>
  <sheetFormatPr defaultColWidth="14.42578125" defaultRowHeight="15" customHeight="1"/>
  <cols>
    <col min="1" max="1" width="25.7109375" style="79" customWidth="1"/>
    <col min="2" max="7" width="13.28515625" style="79" customWidth="1"/>
    <col min="8" max="8" width="19.140625" style="79" customWidth="1"/>
    <col min="9" max="12" width="13.28515625" style="79" customWidth="1"/>
    <col min="13" max="13" width="18.28515625" style="79" customWidth="1"/>
    <col min="14" max="14" width="94" style="79" customWidth="1"/>
    <col min="15" max="26" width="8.7109375" style="79" customWidth="1"/>
    <col min="27" max="16384" width="14.42578125" style="79"/>
  </cols>
  <sheetData>
    <row r="1" spans="1:14" ht="10.5" customHeight="1">
      <c r="A1" s="80"/>
      <c r="B1" s="80"/>
      <c r="C1" s="80"/>
      <c r="D1" s="80"/>
      <c r="E1" s="80"/>
      <c r="F1" s="80"/>
      <c r="G1" s="80"/>
      <c r="H1" s="80"/>
      <c r="I1" s="80"/>
      <c r="J1" s="80"/>
      <c r="K1" s="80"/>
      <c r="L1" s="80"/>
      <c r="M1" s="80"/>
      <c r="N1" s="80"/>
    </row>
    <row r="2" spans="1:14" ht="23.25" customHeight="1">
      <c r="A2" s="505" t="s">
        <v>233</v>
      </c>
      <c r="B2" s="499"/>
      <c r="C2" s="499"/>
      <c r="D2" s="499"/>
      <c r="E2" s="499"/>
      <c r="F2" s="499"/>
      <c r="G2" s="499"/>
      <c r="H2" s="499"/>
      <c r="I2" s="499"/>
      <c r="J2" s="499"/>
      <c r="K2" s="499"/>
      <c r="L2" s="499"/>
      <c r="M2" s="499"/>
      <c r="N2" s="500"/>
    </row>
    <row r="3" spans="1:14" ht="18" customHeight="1">
      <c r="A3" s="501" t="s">
        <v>234</v>
      </c>
      <c r="B3" s="499"/>
      <c r="C3" s="499"/>
      <c r="D3" s="499"/>
      <c r="E3" s="499"/>
      <c r="F3" s="499"/>
      <c r="G3" s="499"/>
      <c r="H3" s="499"/>
      <c r="I3" s="499"/>
      <c r="J3" s="499"/>
      <c r="K3" s="499"/>
      <c r="L3" s="499"/>
      <c r="M3" s="499"/>
      <c r="N3" s="500"/>
    </row>
    <row r="4" spans="1:14" ht="12" customHeight="1">
      <c r="A4" s="80"/>
      <c r="B4" s="80"/>
      <c r="C4" s="80"/>
      <c r="D4" s="80"/>
      <c r="E4" s="80"/>
      <c r="F4" s="80"/>
      <c r="G4" s="80"/>
      <c r="H4" s="80"/>
      <c r="I4" s="80"/>
      <c r="J4" s="80"/>
      <c r="K4" s="80"/>
      <c r="L4" s="80"/>
      <c r="M4" s="80"/>
      <c r="N4" s="80"/>
    </row>
    <row r="5" spans="1:14" ht="19.5" customHeight="1">
      <c r="A5" s="505" t="s">
        <v>235</v>
      </c>
      <c r="B5" s="499"/>
      <c r="C5" s="499"/>
      <c r="D5" s="499"/>
      <c r="E5" s="499"/>
      <c r="F5" s="499"/>
      <c r="G5" s="499"/>
      <c r="H5" s="499"/>
      <c r="I5" s="499"/>
      <c r="J5" s="499"/>
      <c r="K5" s="499"/>
      <c r="L5" s="499"/>
      <c r="M5" s="499"/>
      <c r="N5" s="500"/>
    </row>
    <row r="6" spans="1:14" ht="12" customHeight="1">
      <c r="A6" s="507"/>
      <c r="B6" s="499"/>
      <c r="C6" s="499"/>
      <c r="D6" s="499"/>
      <c r="E6" s="499"/>
      <c r="F6" s="499"/>
      <c r="G6" s="499"/>
      <c r="H6" s="499"/>
      <c r="I6" s="499"/>
      <c r="J6" s="499"/>
      <c r="K6" s="499"/>
      <c r="L6" s="108"/>
      <c r="M6" s="109"/>
      <c r="N6" s="110"/>
    </row>
    <row r="7" spans="1:14" ht="23.25" customHeight="1">
      <c r="A7" s="505"/>
      <c r="B7" s="499"/>
      <c r="C7" s="499"/>
      <c r="D7" s="499"/>
      <c r="E7" s="499"/>
      <c r="F7" s="499"/>
      <c r="G7" s="499"/>
      <c r="H7" s="499"/>
      <c r="I7" s="499"/>
      <c r="J7" s="499"/>
      <c r="K7" s="499"/>
      <c r="L7" s="499"/>
      <c r="M7" s="500"/>
      <c r="N7" s="110"/>
    </row>
    <row r="8" spans="1:14" ht="45" customHeight="1">
      <c r="A8" s="449" t="s">
        <v>236</v>
      </c>
      <c r="B8" s="450"/>
      <c r="C8" s="450"/>
      <c r="D8" s="451"/>
      <c r="E8" s="481" t="s">
        <v>237</v>
      </c>
      <c r="F8" s="491" t="s">
        <v>238</v>
      </c>
      <c r="G8" s="492"/>
      <c r="H8" s="482" t="s">
        <v>239</v>
      </c>
      <c r="I8" s="483" t="s">
        <v>240</v>
      </c>
      <c r="J8" s="482" t="s">
        <v>241</v>
      </c>
      <c r="K8" s="456" t="s">
        <v>242</v>
      </c>
      <c r="L8" s="456" t="s">
        <v>243</v>
      </c>
      <c r="M8" s="458" t="s">
        <v>244</v>
      </c>
      <c r="N8" s="455" t="s">
        <v>245</v>
      </c>
    </row>
    <row r="9" spans="1:14" ht="15.75" customHeight="1">
      <c r="A9" s="452"/>
      <c r="B9" s="453"/>
      <c r="C9" s="453"/>
      <c r="D9" s="454"/>
      <c r="E9" s="457"/>
      <c r="F9" s="81" t="s">
        <v>246</v>
      </c>
      <c r="G9" s="81" t="s">
        <v>247</v>
      </c>
      <c r="H9" s="457"/>
      <c r="I9" s="457"/>
      <c r="J9" s="457"/>
      <c r="K9" s="457"/>
      <c r="L9" s="457"/>
      <c r="M9" s="459"/>
      <c r="N9" s="446"/>
    </row>
    <row r="10" spans="1:14" ht="176.25" customHeight="1">
      <c r="A10" s="508" t="s">
        <v>248</v>
      </c>
      <c r="B10" s="450"/>
      <c r="C10" s="450"/>
      <c r="D10" s="451"/>
      <c r="E10" s="82">
        <v>6579</v>
      </c>
      <c r="F10" s="83">
        <v>800</v>
      </c>
      <c r="G10" s="84">
        <v>1200</v>
      </c>
      <c r="H10" s="85">
        <v>1098</v>
      </c>
      <c r="I10" s="111">
        <f t="shared" ref="I10" si="0">E10/H10</f>
        <v>5.9917999999999996</v>
      </c>
      <c r="J10" s="112">
        <f>'Planilha Agente de Limpeza'!F111</f>
        <v>2525.14</v>
      </c>
      <c r="K10" s="113">
        <f t="shared" ref="K10" si="1">1/H10*$J$10</f>
        <v>2.2999999999999998</v>
      </c>
      <c r="L10" s="114">
        <f t="shared" ref="L10" si="2">E10*K10</f>
        <v>15131.7</v>
      </c>
      <c r="M10" s="460">
        <f>L11/E11</f>
        <v>2.2999999999999998</v>
      </c>
      <c r="N10" s="115" t="s">
        <v>249</v>
      </c>
    </row>
    <row r="11" spans="1:14" ht="30">
      <c r="A11" s="509" t="s">
        <v>250</v>
      </c>
      <c r="B11" s="510"/>
      <c r="C11" s="510"/>
      <c r="D11" s="511"/>
      <c r="E11" s="86">
        <f>SUM(E10:E10)</f>
        <v>6579</v>
      </c>
      <c r="F11" s="87" t="s">
        <v>192</v>
      </c>
      <c r="G11" s="87" t="s">
        <v>192</v>
      </c>
      <c r="H11" s="88" t="s">
        <v>192</v>
      </c>
      <c r="I11" s="116">
        <f>SUM(I10:I10)</f>
        <v>5.9917999999999996</v>
      </c>
      <c r="J11" s="117" t="s">
        <v>192</v>
      </c>
      <c r="K11" s="118" t="s">
        <v>192</v>
      </c>
      <c r="L11" s="119">
        <f>SUM(L10:L10)</f>
        <v>15131.7</v>
      </c>
      <c r="M11" s="461"/>
      <c r="N11" s="120" t="s">
        <v>251</v>
      </c>
    </row>
    <row r="12" spans="1:14">
      <c r="A12" s="80"/>
      <c r="B12" s="80"/>
      <c r="C12" s="80"/>
      <c r="D12" s="80"/>
      <c r="E12" s="80"/>
      <c r="F12" s="80"/>
      <c r="G12" s="80"/>
      <c r="H12" s="80"/>
      <c r="I12" s="80"/>
      <c r="J12" s="80"/>
      <c r="K12" s="80"/>
      <c r="L12" s="121"/>
      <c r="M12" s="122"/>
      <c r="N12" s="80"/>
    </row>
    <row r="13" spans="1:14" ht="23.25" customHeight="1">
      <c r="A13" s="505" t="s">
        <v>252</v>
      </c>
      <c r="B13" s="499"/>
      <c r="C13" s="499"/>
      <c r="D13" s="499"/>
      <c r="E13" s="499"/>
      <c r="F13" s="499"/>
      <c r="G13" s="499"/>
      <c r="H13" s="499"/>
      <c r="I13" s="499"/>
      <c r="J13" s="499"/>
      <c r="K13" s="499"/>
      <c r="L13" s="499"/>
      <c r="M13" s="500"/>
      <c r="N13" s="110"/>
    </row>
    <row r="14" spans="1:14" ht="42" customHeight="1">
      <c r="A14" s="449" t="s">
        <v>236</v>
      </c>
      <c r="B14" s="450"/>
      <c r="C14" s="450"/>
      <c r="D14" s="451"/>
      <c r="E14" s="481" t="s">
        <v>237</v>
      </c>
      <c r="F14" s="491" t="s">
        <v>238</v>
      </c>
      <c r="G14" s="492"/>
      <c r="H14" s="482" t="s">
        <v>239</v>
      </c>
      <c r="I14" s="483" t="s">
        <v>240</v>
      </c>
      <c r="J14" s="482" t="s">
        <v>241</v>
      </c>
      <c r="K14" s="456" t="s">
        <v>242</v>
      </c>
      <c r="L14" s="456" t="s">
        <v>243</v>
      </c>
      <c r="M14" s="458" t="s">
        <v>244</v>
      </c>
      <c r="N14" s="455" t="s">
        <v>245</v>
      </c>
    </row>
    <row r="15" spans="1:14" ht="15.75" customHeight="1">
      <c r="A15" s="452"/>
      <c r="B15" s="453"/>
      <c r="C15" s="453"/>
      <c r="D15" s="454"/>
      <c r="E15" s="457"/>
      <c r="F15" s="81" t="s">
        <v>246</v>
      </c>
      <c r="G15" s="81" t="s">
        <v>247</v>
      </c>
      <c r="H15" s="457"/>
      <c r="I15" s="457"/>
      <c r="J15" s="457"/>
      <c r="K15" s="457"/>
      <c r="L15" s="457"/>
      <c r="M15" s="459"/>
      <c r="N15" s="446"/>
    </row>
    <row r="16" spans="1:14" ht="15.75" customHeight="1">
      <c r="A16" s="493" t="s">
        <v>253</v>
      </c>
      <c r="B16" s="494"/>
      <c r="C16" s="494"/>
      <c r="D16" s="492"/>
      <c r="E16" s="89">
        <v>18254</v>
      </c>
      <c r="F16" s="90">
        <v>1800</v>
      </c>
      <c r="G16" s="90">
        <v>2700</v>
      </c>
      <c r="H16" s="91">
        <v>2700</v>
      </c>
      <c r="I16" s="123">
        <f>E16/H16</f>
        <v>6.7606999999999999</v>
      </c>
      <c r="J16" s="124">
        <f>J10</f>
        <v>2525.14</v>
      </c>
      <c r="K16" s="125">
        <f>1/H16*$J$16</f>
        <v>0.94</v>
      </c>
      <c r="L16" s="126">
        <f>E16*K16</f>
        <v>17158.759999999998</v>
      </c>
      <c r="M16" s="460">
        <f>L17/E17</f>
        <v>0.94</v>
      </c>
      <c r="N16" s="445" t="s">
        <v>254</v>
      </c>
    </row>
    <row r="17" spans="1:14" ht="13.5" customHeight="1">
      <c r="A17" s="495" t="s">
        <v>255</v>
      </c>
      <c r="B17" s="496"/>
      <c r="C17" s="496"/>
      <c r="D17" s="497"/>
      <c r="E17" s="92">
        <f>SUM(E14:E16)</f>
        <v>18254</v>
      </c>
      <c r="F17" s="93" t="s">
        <v>192</v>
      </c>
      <c r="G17" s="93" t="s">
        <v>192</v>
      </c>
      <c r="H17" s="94" t="s">
        <v>192</v>
      </c>
      <c r="I17" s="104">
        <f>SUM(I14:I16)</f>
        <v>6.7606999999999999</v>
      </c>
      <c r="J17" s="127" t="s">
        <v>192</v>
      </c>
      <c r="K17" s="128" t="s">
        <v>192</v>
      </c>
      <c r="L17" s="94">
        <f>SUM(L14:L16)</f>
        <v>17158.759999999998</v>
      </c>
      <c r="M17" s="461"/>
      <c r="N17" s="446"/>
    </row>
    <row r="18" spans="1:14" ht="12" customHeight="1">
      <c r="A18" s="80"/>
      <c r="B18" s="95"/>
      <c r="C18" s="80"/>
      <c r="D18" s="80"/>
      <c r="E18" s="80"/>
      <c r="F18" s="80"/>
      <c r="G18" s="80"/>
      <c r="H18" s="80"/>
      <c r="I18" s="80"/>
      <c r="J18" s="80"/>
      <c r="K18" s="108"/>
      <c r="L18" s="108"/>
      <c r="M18" s="109"/>
      <c r="N18" s="129"/>
    </row>
    <row r="19" spans="1:14" ht="12" customHeight="1">
      <c r="A19" s="80"/>
      <c r="B19" s="95"/>
      <c r="C19" s="80"/>
      <c r="D19" s="80"/>
      <c r="E19" s="80"/>
      <c r="F19" s="80"/>
      <c r="G19" s="80"/>
      <c r="H19" s="80"/>
      <c r="I19" s="80"/>
      <c r="J19" s="80"/>
      <c r="K19" s="108"/>
      <c r="L19" s="108"/>
      <c r="M19" s="109"/>
      <c r="N19" s="129"/>
    </row>
    <row r="20" spans="1:14" ht="23.25" customHeight="1">
      <c r="A20" s="505" t="s">
        <v>256</v>
      </c>
      <c r="B20" s="499"/>
      <c r="C20" s="499"/>
      <c r="D20" s="499"/>
      <c r="E20" s="499"/>
      <c r="F20" s="499"/>
      <c r="G20" s="499"/>
      <c r="H20" s="499"/>
      <c r="I20" s="499"/>
      <c r="J20" s="499"/>
      <c r="K20" s="499"/>
      <c r="L20" s="499"/>
      <c r="M20" s="500"/>
      <c r="N20" s="110"/>
    </row>
    <row r="21" spans="1:14" ht="47.25" customHeight="1">
      <c r="A21" s="479" t="s">
        <v>236</v>
      </c>
      <c r="B21" s="481" t="s">
        <v>237</v>
      </c>
      <c r="C21" s="491" t="s">
        <v>238</v>
      </c>
      <c r="D21" s="492"/>
      <c r="E21" s="482" t="s">
        <v>239</v>
      </c>
      <c r="F21" s="482" t="s">
        <v>257</v>
      </c>
      <c r="G21" s="482" t="s">
        <v>258</v>
      </c>
      <c r="H21" s="482" t="s">
        <v>259</v>
      </c>
      <c r="I21" s="483" t="s">
        <v>240</v>
      </c>
      <c r="J21" s="456" t="s">
        <v>241</v>
      </c>
      <c r="K21" s="456" t="s">
        <v>242</v>
      </c>
      <c r="L21" s="456" t="s">
        <v>243</v>
      </c>
      <c r="M21" s="458" t="s">
        <v>244</v>
      </c>
      <c r="N21" s="455" t="s">
        <v>245</v>
      </c>
    </row>
    <row r="22" spans="1:14" ht="15.75" customHeight="1">
      <c r="A22" s="480"/>
      <c r="B22" s="457"/>
      <c r="C22" s="81" t="s">
        <v>246</v>
      </c>
      <c r="D22" s="81" t="s">
        <v>247</v>
      </c>
      <c r="E22" s="457"/>
      <c r="F22" s="457"/>
      <c r="G22" s="457"/>
      <c r="H22" s="457"/>
      <c r="I22" s="457"/>
      <c r="J22" s="457"/>
      <c r="K22" s="457"/>
      <c r="L22" s="457"/>
      <c r="M22" s="459"/>
      <c r="N22" s="446"/>
    </row>
    <row r="23" spans="1:14" ht="238.5" customHeight="1">
      <c r="A23" s="96" t="s">
        <v>260</v>
      </c>
      <c r="B23" s="97">
        <v>874</v>
      </c>
      <c r="C23" s="98">
        <v>300</v>
      </c>
      <c r="D23" s="98">
        <v>380</v>
      </c>
      <c r="E23" s="99">
        <v>300</v>
      </c>
      <c r="F23" s="98">
        <v>16</v>
      </c>
      <c r="G23" s="98">
        <v>188.76</v>
      </c>
      <c r="H23" s="100">
        <f t="shared" ref="H23" si="3">1/E23*F23*1/G23</f>
        <v>2.825457371E-4</v>
      </c>
      <c r="I23" s="130">
        <f>B23/E23/25.3</f>
        <v>0.1152</v>
      </c>
      <c r="J23" s="131">
        <f>J10</f>
        <v>2525.14</v>
      </c>
      <c r="K23" s="132">
        <f t="shared" ref="K23" si="4">H23*$J$23</f>
        <v>0.71</v>
      </c>
      <c r="L23" s="133">
        <f t="shared" ref="L23" si="5">B23*K23</f>
        <v>620.54</v>
      </c>
      <c r="M23" s="506">
        <f>L24/B24</f>
        <v>0.71</v>
      </c>
      <c r="N23" s="134" t="s">
        <v>261</v>
      </c>
    </row>
    <row r="24" spans="1:14" ht="48.75" customHeight="1">
      <c r="A24" s="101" t="s">
        <v>262</v>
      </c>
      <c r="B24" s="92">
        <f>SUM(B23:B23)</f>
        <v>874</v>
      </c>
      <c r="C24" s="102" t="s">
        <v>192</v>
      </c>
      <c r="D24" s="102" t="s">
        <v>192</v>
      </c>
      <c r="E24" s="92" t="s">
        <v>192</v>
      </c>
      <c r="F24" s="93" t="s">
        <v>192</v>
      </c>
      <c r="G24" s="103" t="s">
        <v>192</v>
      </c>
      <c r="H24" s="104" t="s">
        <v>192</v>
      </c>
      <c r="I24" s="104">
        <f>SUM(I23:I23)</f>
        <v>0.1152</v>
      </c>
      <c r="J24" s="135" t="s">
        <v>192</v>
      </c>
      <c r="K24" s="128" t="s">
        <v>192</v>
      </c>
      <c r="L24" s="92">
        <f>SUM(L23:L23)</f>
        <v>620.54</v>
      </c>
      <c r="M24" s="461"/>
      <c r="N24" s="136" t="s">
        <v>263</v>
      </c>
    </row>
    <row r="25" spans="1:14" ht="15.75" customHeight="1">
      <c r="A25" s="105"/>
      <c r="B25" s="106"/>
      <c r="C25" s="107"/>
      <c r="D25" s="107"/>
      <c r="E25" s="107"/>
      <c r="F25" s="107"/>
      <c r="G25" s="107"/>
      <c r="H25" s="107"/>
      <c r="J25" s="107"/>
      <c r="K25" s="109"/>
      <c r="L25" s="109"/>
      <c r="M25" s="109"/>
      <c r="N25" s="109"/>
    </row>
    <row r="26" spans="1:14" ht="23.25" customHeight="1">
      <c r="A26" s="505" t="s">
        <v>264</v>
      </c>
      <c r="B26" s="499"/>
      <c r="C26" s="499"/>
      <c r="D26" s="499"/>
      <c r="E26" s="499"/>
      <c r="F26" s="499"/>
      <c r="G26" s="499"/>
      <c r="H26" s="499"/>
      <c r="I26" s="499"/>
      <c r="J26" s="499"/>
      <c r="K26" s="499"/>
      <c r="L26" s="499"/>
      <c r="M26" s="500"/>
      <c r="N26" s="110"/>
    </row>
    <row r="27" spans="1:14" ht="42" customHeight="1">
      <c r="A27" s="449" t="s">
        <v>236</v>
      </c>
      <c r="B27" s="450"/>
      <c r="C27" s="450"/>
      <c r="D27" s="451"/>
      <c r="E27" s="481" t="s">
        <v>237</v>
      </c>
      <c r="F27" s="491" t="s">
        <v>238</v>
      </c>
      <c r="G27" s="492"/>
      <c r="H27" s="482" t="s">
        <v>239</v>
      </c>
      <c r="I27" s="483" t="s">
        <v>240</v>
      </c>
      <c r="J27" s="482" t="s">
        <v>241</v>
      </c>
      <c r="K27" s="456" t="s">
        <v>242</v>
      </c>
      <c r="L27" s="456" t="s">
        <v>243</v>
      </c>
      <c r="M27" s="458" t="s">
        <v>244</v>
      </c>
      <c r="N27" s="455" t="s">
        <v>245</v>
      </c>
    </row>
    <row r="28" spans="1:14" ht="15.75" customHeight="1">
      <c r="A28" s="452"/>
      <c r="B28" s="453"/>
      <c r="C28" s="453"/>
      <c r="D28" s="454"/>
      <c r="E28" s="457"/>
      <c r="F28" s="81" t="s">
        <v>246</v>
      </c>
      <c r="G28" s="81" t="s">
        <v>247</v>
      </c>
      <c r="H28" s="457"/>
      <c r="I28" s="457"/>
      <c r="J28" s="457"/>
      <c r="K28" s="457"/>
      <c r="L28" s="457"/>
      <c r="M28" s="459"/>
      <c r="N28" s="446"/>
    </row>
    <row r="29" spans="1:14" ht="15.75" customHeight="1">
      <c r="A29" s="493" t="s">
        <v>265</v>
      </c>
      <c r="B29" s="494"/>
      <c r="C29" s="494"/>
      <c r="D29" s="492"/>
      <c r="E29" s="89">
        <v>63</v>
      </c>
      <c r="F29" s="90">
        <v>360</v>
      </c>
      <c r="G29" s="90">
        <v>450</v>
      </c>
      <c r="H29" s="91">
        <v>450</v>
      </c>
      <c r="I29" s="123">
        <f>E29/H29</f>
        <v>0.14000000000000001</v>
      </c>
      <c r="J29" s="124">
        <f>J23</f>
        <v>2525.14</v>
      </c>
      <c r="K29" s="125">
        <f>1/H29*$J$16</f>
        <v>5.61</v>
      </c>
      <c r="L29" s="126">
        <f>E29*K29</f>
        <v>353.43</v>
      </c>
      <c r="M29" s="460">
        <f>L30/E30</f>
        <v>5.61</v>
      </c>
      <c r="N29" s="445" t="s">
        <v>266</v>
      </c>
    </row>
    <row r="30" spans="1:14" ht="13.5" customHeight="1">
      <c r="A30" s="495" t="s">
        <v>255</v>
      </c>
      <c r="B30" s="496"/>
      <c r="C30" s="496"/>
      <c r="D30" s="497"/>
      <c r="E30" s="92">
        <f>SUM(E27:E29)</f>
        <v>63</v>
      </c>
      <c r="F30" s="93" t="s">
        <v>192</v>
      </c>
      <c r="G30" s="93" t="s">
        <v>192</v>
      </c>
      <c r="H30" s="94" t="s">
        <v>192</v>
      </c>
      <c r="I30" s="104">
        <f>SUM(I27:I29)</f>
        <v>0.14000000000000001</v>
      </c>
      <c r="J30" s="127" t="s">
        <v>192</v>
      </c>
      <c r="K30" s="128" t="s">
        <v>192</v>
      </c>
      <c r="L30" s="94">
        <f>SUM(L27:L29)</f>
        <v>353.43</v>
      </c>
      <c r="M30" s="461"/>
      <c r="N30" s="446"/>
    </row>
    <row r="31" spans="1:14" ht="15.75" customHeight="1">
      <c r="A31" s="105"/>
      <c r="B31" s="106"/>
      <c r="C31" s="107"/>
      <c r="D31" s="107"/>
      <c r="E31" s="107"/>
      <c r="F31" s="107"/>
      <c r="G31" s="107"/>
      <c r="H31" s="107"/>
      <c r="J31" s="107"/>
      <c r="K31" s="109"/>
      <c r="L31" s="109"/>
      <c r="M31" s="109"/>
      <c r="N31" s="109"/>
    </row>
    <row r="32" spans="1:14" ht="23.25" customHeight="1">
      <c r="A32" s="498" t="s">
        <v>267</v>
      </c>
      <c r="B32" s="499"/>
      <c r="C32" s="499"/>
      <c r="D32" s="499"/>
      <c r="E32" s="499"/>
      <c r="F32" s="499"/>
      <c r="G32" s="499"/>
      <c r="H32" s="499"/>
      <c r="I32" s="499"/>
      <c r="J32" s="499"/>
      <c r="K32" s="499"/>
      <c r="L32" s="499"/>
      <c r="M32" s="500"/>
      <c r="N32" s="109"/>
    </row>
    <row r="33" spans="1:14" ht="13.5" customHeight="1">
      <c r="A33" s="501" t="s">
        <v>268</v>
      </c>
      <c r="B33" s="499"/>
      <c r="C33" s="499"/>
      <c r="D33" s="502"/>
      <c r="E33" s="503" t="s">
        <v>269</v>
      </c>
      <c r="F33" s="499"/>
      <c r="G33" s="502"/>
      <c r="H33" s="503" t="s">
        <v>270</v>
      </c>
      <c r="I33" s="499"/>
      <c r="J33" s="502"/>
      <c r="K33" s="504" t="s">
        <v>271</v>
      </c>
      <c r="L33" s="499"/>
      <c r="M33" s="500"/>
      <c r="N33" s="137" t="s">
        <v>245</v>
      </c>
    </row>
    <row r="34" spans="1:14" ht="30.75" customHeight="1">
      <c r="A34" s="472" t="s">
        <v>272</v>
      </c>
      <c r="B34" s="473"/>
      <c r="C34" s="473"/>
      <c r="D34" s="474"/>
      <c r="E34" s="475">
        <f>E11</f>
        <v>6579</v>
      </c>
      <c r="F34" s="473"/>
      <c r="G34" s="474"/>
      <c r="H34" s="488">
        <f>M10</f>
        <v>2.2999999999999998</v>
      </c>
      <c r="I34" s="473"/>
      <c r="J34" s="474"/>
      <c r="K34" s="488">
        <f t="shared" ref="K34" si="6">E34*H34</f>
        <v>15131.7</v>
      </c>
      <c r="L34" s="473"/>
      <c r="M34" s="476"/>
      <c r="N34" s="447" t="s">
        <v>273</v>
      </c>
    </row>
    <row r="35" spans="1:14" ht="30.75" customHeight="1">
      <c r="A35" s="489" t="s">
        <v>274</v>
      </c>
      <c r="B35" s="485"/>
      <c r="C35" s="485"/>
      <c r="D35" s="486"/>
      <c r="E35" s="490">
        <f>E17</f>
        <v>18254</v>
      </c>
      <c r="F35" s="485"/>
      <c r="G35" s="486"/>
      <c r="H35" s="484">
        <f>M16</f>
        <v>0.94</v>
      </c>
      <c r="I35" s="485"/>
      <c r="J35" s="486"/>
      <c r="K35" s="484">
        <f>L17</f>
        <v>17158.759999999998</v>
      </c>
      <c r="L35" s="485"/>
      <c r="M35" s="487"/>
      <c r="N35" s="448"/>
    </row>
    <row r="36" spans="1:14" ht="30.75" customHeight="1">
      <c r="A36" s="489" t="s">
        <v>275</v>
      </c>
      <c r="B36" s="485"/>
      <c r="C36" s="485"/>
      <c r="D36" s="486"/>
      <c r="E36" s="490">
        <f>B24</f>
        <v>874</v>
      </c>
      <c r="F36" s="485"/>
      <c r="G36" s="486"/>
      <c r="H36" s="484">
        <f>K23</f>
        <v>0.71</v>
      </c>
      <c r="I36" s="485"/>
      <c r="J36" s="486"/>
      <c r="K36" s="484">
        <f>L24</f>
        <v>620.54</v>
      </c>
      <c r="L36" s="485"/>
      <c r="M36" s="487"/>
      <c r="N36" s="448"/>
    </row>
    <row r="37" spans="1:14" ht="30.75" customHeight="1">
      <c r="A37" s="489" t="s">
        <v>276</v>
      </c>
      <c r="B37" s="485"/>
      <c r="C37" s="485"/>
      <c r="D37" s="486"/>
      <c r="E37" s="490">
        <f>E30</f>
        <v>63</v>
      </c>
      <c r="F37" s="485"/>
      <c r="G37" s="486"/>
      <c r="H37" s="484">
        <f>K29</f>
        <v>5.61</v>
      </c>
      <c r="I37" s="485"/>
      <c r="J37" s="486"/>
      <c r="K37" s="484">
        <f>L30</f>
        <v>353.43</v>
      </c>
      <c r="L37" s="485"/>
      <c r="M37" s="487"/>
      <c r="N37" s="138"/>
    </row>
    <row r="38" spans="1:14" ht="30.75" customHeight="1">
      <c r="A38" s="489" t="s">
        <v>364</v>
      </c>
      <c r="B38" s="485"/>
      <c r="C38" s="485"/>
      <c r="D38" s="486"/>
      <c r="E38" s="490" t="s">
        <v>192</v>
      </c>
      <c r="F38" s="485"/>
      <c r="G38" s="486"/>
      <c r="H38" s="484">
        <f>'Planilha Materiais'!F39</f>
        <v>4694.5</v>
      </c>
      <c r="I38" s="485"/>
      <c r="J38" s="486"/>
      <c r="K38" s="484">
        <f>H38</f>
        <v>4694.5</v>
      </c>
      <c r="L38" s="485"/>
      <c r="M38" s="487"/>
      <c r="N38" s="249"/>
    </row>
    <row r="39" spans="1:14" ht="16.5" customHeight="1">
      <c r="A39" s="467" t="s">
        <v>277</v>
      </c>
      <c r="B39" s="468"/>
      <c r="C39" s="468"/>
      <c r="D39" s="468"/>
      <c r="E39" s="468"/>
      <c r="F39" s="468"/>
      <c r="G39" s="468"/>
      <c r="H39" s="468"/>
      <c r="I39" s="468"/>
      <c r="J39" s="469"/>
      <c r="K39" s="470">
        <f>SUM(K34:M38)</f>
        <v>37958.93</v>
      </c>
      <c r="L39" s="468"/>
      <c r="M39" s="471"/>
      <c r="N39" s="139" t="s">
        <v>278</v>
      </c>
    </row>
    <row r="40" spans="1:14" ht="18" customHeight="1">
      <c r="A40" s="467" t="s">
        <v>279</v>
      </c>
      <c r="B40" s="468"/>
      <c r="C40" s="468"/>
      <c r="D40" s="468"/>
      <c r="E40" s="468"/>
      <c r="F40" s="468"/>
      <c r="G40" s="468"/>
      <c r="H40" s="468"/>
      <c r="I40" s="468"/>
      <c r="J40" s="469"/>
      <c r="K40" s="470">
        <f>(K39*12)</f>
        <v>455507.16</v>
      </c>
      <c r="L40" s="468"/>
      <c r="M40" s="471"/>
      <c r="N40" s="139" t="s">
        <v>280</v>
      </c>
    </row>
    <row r="41" spans="1:14" ht="13.5" customHeight="1">
      <c r="A41" s="472" t="s">
        <v>281</v>
      </c>
      <c r="B41" s="473"/>
      <c r="C41" s="473"/>
      <c r="D41" s="473"/>
      <c r="E41" s="473"/>
      <c r="F41" s="473"/>
      <c r="G41" s="473"/>
      <c r="H41" s="473"/>
      <c r="I41" s="473"/>
      <c r="J41" s="474"/>
      <c r="K41" s="475">
        <f>SUM(E34:G37)</f>
        <v>25770</v>
      </c>
      <c r="L41" s="473"/>
      <c r="M41" s="476"/>
      <c r="N41" s="139" t="s">
        <v>282</v>
      </c>
    </row>
    <row r="42" spans="1:14" ht="13.5" customHeight="1">
      <c r="A42" s="462" t="s">
        <v>283</v>
      </c>
      <c r="B42" s="463"/>
      <c r="C42" s="463"/>
      <c r="D42" s="463"/>
      <c r="E42" s="463"/>
      <c r="F42" s="463"/>
      <c r="G42" s="463"/>
      <c r="H42" s="463"/>
      <c r="I42" s="463"/>
      <c r="J42" s="464"/>
      <c r="K42" s="465">
        <f>I24+I17+I11+I30</f>
        <v>13.0077</v>
      </c>
      <c r="L42" s="463"/>
      <c r="M42" s="466"/>
      <c r="N42" s="139" t="s">
        <v>284</v>
      </c>
    </row>
    <row r="43" spans="1:14" ht="17.25" customHeight="1">
      <c r="A43" s="477" t="s">
        <v>285</v>
      </c>
      <c r="B43" s="473"/>
      <c r="C43" s="473"/>
      <c r="D43" s="473"/>
      <c r="E43" s="473"/>
      <c r="F43" s="473"/>
      <c r="G43" s="473"/>
      <c r="H43" s="473"/>
      <c r="I43" s="473"/>
      <c r="J43" s="474"/>
      <c r="K43" s="478">
        <f>ROUND(K42,0)</f>
        <v>13</v>
      </c>
      <c r="L43" s="473"/>
      <c r="M43" s="476"/>
      <c r="N43" s="139" t="s">
        <v>286</v>
      </c>
    </row>
    <row r="44" spans="1:14" ht="15.75" customHeight="1">
      <c r="N44" s="140"/>
    </row>
    <row r="45" spans="1:14" ht="15.75" customHeight="1">
      <c r="N45" s="140"/>
    </row>
    <row r="46" spans="1:14" ht="15.75" customHeight="1">
      <c r="N46" s="140"/>
    </row>
    <row r="47" spans="1:14" ht="15.75" customHeight="1">
      <c r="N47" s="140"/>
    </row>
    <row r="48" spans="1:14" ht="15.75" customHeight="1">
      <c r="N48" s="140"/>
    </row>
    <row r="49" spans="14:14" ht="15.75" customHeight="1">
      <c r="N49" s="140"/>
    </row>
    <row r="50" spans="14:14" ht="15.75" customHeight="1">
      <c r="N50" s="140"/>
    </row>
    <row r="51" spans="14:14" ht="15.75" customHeight="1">
      <c r="N51" s="140"/>
    </row>
    <row r="52" spans="14:14" ht="15.75" customHeight="1">
      <c r="N52" s="140"/>
    </row>
    <row r="53" spans="14:14" ht="15.75" customHeight="1">
      <c r="N53" s="140"/>
    </row>
    <row r="54" spans="14:14" ht="15.75" customHeight="1">
      <c r="N54" s="140"/>
    </row>
    <row r="55" spans="14:14" ht="15.75" customHeight="1">
      <c r="N55" s="140"/>
    </row>
    <row r="56" spans="14:14" ht="15.75" customHeight="1">
      <c r="N56" s="140"/>
    </row>
    <row r="57" spans="14:14" ht="15.75" customHeight="1">
      <c r="N57" s="140"/>
    </row>
    <row r="58" spans="14:14" ht="15.75" customHeight="1">
      <c r="N58" s="140"/>
    </row>
    <row r="59" spans="14:14" ht="15.75" customHeight="1">
      <c r="N59" s="140"/>
    </row>
    <row r="60" spans="14:14" ht="15.75" customHeight="1">
      <c r="N60" s="140"/>
    </row>
    <row r="61" spans="14:14" ht="15.75" customHeight="1">
      <c r="N61" s="140"/>
    </row>
    <row r="62" spans="14:14" ht="15.75" customHeight="1">
      <c r="N62" s="140"/>
    </row>
    <row r="63" spans="14:14" ht="15.75" customHeight="1">
      <c r="N63" s="140"/>
    </row>
    <row r="64" spans="14:14" ht="15.75" customHeight="1">
      <c r="N64" s="140"/>
    </row>
    <row r="65" spans="14:14" ht="15.75" customHeight="1">
      <c r="N65" s="140"/>
    </row>
    <row r="66" spans="14:14" ht="15.75" customHeight="1">
      <c r="N66" s="140"/>
    </row>
    <row r="67" spans="14:14" ht="15.75" customHeight="1">
      <c r="N67" s="140"/>
    </row>
    <row r="68" spans="14:14" ht="15.75" customHeight="1">
      <c r="N68" s="140"/>
    </row>
    <row r="69" spans="14:14" ht="15.75" customHeight="1">
      <c r="N69" s="140"/>
    </row>
    <row r="70" spans="14:14" ht="15.75" customHeight="1">
      <c r="N70" s="140"/>
    </row>
    <row r="71" spans="14:14" ht="15.75" customHeight="1">
      <c r="N71" s="140"/>
    </row>
    <row r="72" spans="14:14" ht="15.75" customHeight="1">
      <c r="N72" s="140"/>
    </row>
    <row r="73" spans="14:14" ht="15.75" customHeight="1">
      <c r="N73" s="140"/>
    </row>
    <row r="74" spans="14:14" ht="15.75" customHeight="1">
      <c r="N74" s="140"/>
    </row>
    <row r="75" spans="14:14" ht="15.75" customHeight="1">
      <c r="N75" s="140"/>
    </row>
    <row r="76" spans="14:14" ht="15.75" customHeight="1">
      <c r="N76" s="140"/>
    </row>
    <row r="77" spans="14:14" ht="15.75" customHeight="1">
      <c r="N77" s="140"/>
    </row>
    <row r="78" spans="14:14" ht="15.75" customHeight="1">
      <c r="N78" s="140"/>
    </row>
    <row r="79" spans="14:14" ht="15.75" customHeight="1">
      <c r="N79" s="140"/>
    </row>
    <row r="80" spans="14:14" ht="15.75" customHeight="1">
      <c r="N80" s="140"/>
    </row>
    <row r="81" spans="14:14" ht="15.75" customHeight="1">
      <c r="N81" s="140"/>
    </row>
    <row r="82" spans="14:14" ht="15.75" customHeight="1">
      <c r="N82" s="140"/>
    </row>
    <row r="83" spans="14:14" ht="15.75" customHeight="1">
      <c r="N83" s="140"/>
    </row>
    <row r="84" spans="14:14" ht="15.75" customHeight="1">
      <c r="N84" s="140"/>
    </row>
    <row r="85" spans="14:14" ht="15.75" customHeight="1">
      <c r="N85" s="140"/>
    </row>
    <row r="86" spans="14:14" ht="15.75" customHeight="1">
      <c r="N86" s="140"/>
    </row>
    <row r="87" spans="14:14" ht="15.75" customHeight="1">
      <c r="N87" s="140"/>
    </row>
    <row r="88" spans="14:14" ht="15.75" customHeight="1">
      <c r="N88" s="140"/>
    </row>
    <row r="89" spans="14:14" ht="15.75" customHeight="1">
      <c r="N89" s="140"/>
    </row>
    <row r="90" spans="14:14" ht="15.75" customHeight="1">
      <c r="N90" s="140"/>
    </row>
    <row r="91" spans="14:14" ht="15.75" customHeight="1">
      <c r="N91" s="140"/>
    </row>
    <row r="92" spans="14:14" ht="15.75" customHeight="1">
      <c r="N92" s="140"/>
    </row>
    <row r="93" spans="14:14" ht="15.75" customHeight="1">
      <c r="N93" s="140"/>
    </row>
    <row r="94" spans="14:14" ht="15.75" customHeight="1">
      <c r="N94" s="140"/>
    </row>
    <row r="95" spans="14:14" ht="15.75" customHeight="1">
      <c r="N95" s="140"/>
    </row>
    <row r="96" spans="14:14" ht="15.75" customHeight="1">
      <c r="N96" s="140"/>
    </row>
    <row r="97" spans="14:14" ht="15.75" customHeight="1">
      <c r="N97" s="140"/>
    </row>
    <row r="98" spans="14:14" ht="15.75" customHeight="1">
      <c r="N98" s="140"/>
    </row>
    <row r="99" spans="14:14" ht="15.75" customHeight="1">
      <c r="N99" s="140"/>
    </row>
    <row r="100" spans="14:14" ht="15.75" customHeight="1">
      <c r="N100" s="140"/>
    </row>
    <row r="101" spans="14:14" ht="15.75" customHeight="1">
      <c r="N101" s="140"/>
    </row>
    <row r="102" spans="14:14" ht="15.75" customHeight="1">
      <c r="N102" s="140"/>
    </row>
    <row r="103" spans="14:14" ht="15.75" customHeight="1">
      <c r="N103" s="140"/>
    </row>
    <row r="104" spans="14:14" ht="15.75" customHeight="1">
      <c r="N104" s="140"/>
    </row>
    <row r="105" spans="14:14" ht="15.75" customHeight="1">
      <c r="N105" s="140"/>
    </row>
    <row r="106" spans="14:14" ht="15.75" customHeight="1">
      <c r="N106" s="140"/>
    </row>
    <row r="107" spans="14:14" ht="15.75" customHeight="1">
      <c r="N107" s="140"/>
    </row>
    <row r="108" spans="14:14" ht="15.75" customHeight="1">
      <c r="N108" s="140"/>
    </row>
    <row r="109" spans="14:14" ht="15.75" customHeight="1">
      <c r="N109" s="140"/>
    </row>
    <row r="110" spans="14:14" ht="15.75" customHeight="1">
      <c r="N110" s="140"/>
    </row>
    <row r="111" spans="14:14" ht="15.75" customHeight="1">
      <c r="N111" s="140"/>
    </row>
    <row r="112" spans="14:14" ht="15.75" customHeight="1">
      <c r="N112" s="140"/>
    </row>
    <row r="113" spans="14:14" ht="15.75" customHeight="1">
      <c r="N113" s="140"/>
    </row>
    <row r="114" spans="14:14" ht="15.75" customHeight="1">
      <c r="N114" s="140"/>
    </row>
    <row r="115" spans="14:14" ht="15.75" customHeight="1">
      <c r="N115" s="140"/>
    </row>
    <row r="116" spans="14:14" ht="15.75" customHeight="1">
      <c r="N116" s="140"/>
    </row>
    <row r="117" spans="14:14" ht="15.75" customHeight="1">
      <c r="N117" s="140"/>
    </row>
    <row r="118" spans="14:14" ht="15.75" customHeight="1">
      <c r="N118" s="140"/>
    </row>
    <row r="119" spans="14:14" ht="15.75" customHeight="1">
      <c r="N119" s="140"/>
    </row>
    <row r="120" spans="14:14" ht="15.75" customHeight="1">
      <c r="N120" s="140"/>
    </row>
    <row r="121" spans="14:14" ht="15.75" customHeight="1">
      <c r="N121" s="140"/>
    </row>
    <row r="122" spans="14:14" ht="15.75" customHeight="1">
      <c r="N122" s="140"/>
    </row>
    <row r="123" spans="14:14" ht="15.75" customHeight="1">
      <c r="N123" s="140"/>
    </row>
    <row r="124" spans="14:14" ht="15.75" customHeight="1">
      <c r="N124" s="140"/>
    </row>
    <row r="125" spans="14:14" ht="15.75" customHeight="1">
      <c r="N125" s="140"/>
    </row>
    <row r="126" spans="14:14" ht="15.75" customHeight="1">
      <c r="N126" s="140"/>
    </row>
    <row r="127" spans="14:14" ht="15.75" customHeight="1">
      <c r="N127" s="140"/>
    </row>
    <row r="128" spans="14:14" ht="15.75" customHeight="1">
      <c r="N128" s="140"/>
    </row>
    <row r="129" spans="14:14" ht="15.75" customHeight="1">
      <c r="N129" s="140"/>
    </row>
    <row r="130" spans="14:14" ht="15.75" customHeight="1">
      <c r="N130" s="140"/>
    </row>
    <row r="131" spans="14:14" ht="15.75" customHeight="1">
      <c r="N131" s="140"/>
    </row>
    <row r="132" spans="14:14" ht="15.75" customHeight="1">
      <c r="N132" s="140"/>
    </row>
    <row r="133" spans="14:14" ht="15.75" customHeight="1">
      <c r="N133" s="140"/>
    </row>
    <row r="134" spans="14:14" ht="15.75" customHeight="1">
      <c r="N134" s="140"/>
    </row>
    <row r="135" spans="14:14" ht="15.75" customHeight="1">
      <c r="N135" s="140"/>
    </row>
    <row r="136" spans="14:14" ht="15.75" customHeight="1">
      <c r="N136" s="140"/>
    </row>
    <row r="137" spans="14:14" ht="15.75" customHeight="1">
      <c r="N137" s="140"/>
    </row>
    <row r="138" spans="14:14" ht="15.75" customHeight="1">
      <c r="N138" s="140"/>
    </row>
    <row r="139" spans="14:14" ht="15.75" customHeight="1">
      <c r="N139" s="140"/>
    </row>
    <row r="140" spans="14:14" ht="15.75" customHeight="1">
      <c r="N140" s="140"/>
    </row>
    <row r="141" spans="14:14" ht="15.75" customHeight="1">
      <c r="N141" s="140"/>
    </row>
    <row r="142" spans="14:14" ht="15.75" customHeight="1">
      <c r="N142" s="140"/>
    </row>
    <row r="143" spans="14:14" ht="15.75" customHeight="1">
      <c r="N143" s="140"/>
    </row>
    <row r="144" spans="14:14" ht="15.75" customHeight="1">
      <c r="N144" s="140"/>
    </row>
    <row r="145" spans="14:14" ht="15.75" customHeight="1">
      <c r="N145" s="140"/>
    </row>
    <row r="146" spans="14:14" ht="15.75" customHeight="1">
      <c r="N146" s="140"/>
    </row>
    <row r="147" spans="14:14" ht="15.75" customHeight="1">
      <c r="N147" s="140"/>
    </row>
    <row r="148" spans="14:14" ht="15.75" customHeight="1">
      <c r="N148" s="140"/>
    </row>
    <row r="149" spans="14:14" ht="15.75" customHeight="1">
      <c r="N149" s="140"/>
    </row>
    <row r="150" spans="14:14" ht="15.75" customHeight="1">
      <c r="N150" s="140"/>
    </row>
    <row r="151" spans="14:14" ht="15.75" customHeight="1">
      <c r="N151" s="140"/>
    </row>
    <row r="152" spans="14:14" ht="15.75" customHeight="1">
      <c r="N152" s="140"/>
    </row>
    <row r="153" spans="14:14" ht="15.75" customHeight="1">
      <c r="N153" s="140"/>
    </row>
    <row r="154" spans="14:14" ht="15.75" customHeight="1">
      <c r="N154" s="140"/>
    </row>
    <row r="155" spans="14:14" ht="15.75" customHeight="1">
      <c r="N155" s="140"/>
    </row>
    <row r="156" spans="14:14" ht="15.75" customHeight="1">
      <c r="N156" s="140"/>
    </row>
    <row r="157" spans="14:14" ht="15.75" customHeight="1">
      <c r="N157" s="140"/>
    </row>
    <row r="158" spans="14:14" ht="15.75" customHeight="1">
      <c r="N158" s="140"/>
    </row>
    <row r="159" spans="14:14" ht="15.75" customHeight="1">
      <c r="N159" s="140"/>
    </row>
    <row r="160" spans="14:14" ht="15.75" customHeight="1">
      <c r="N160" s="140"/>
    </row>
    <row r="161" spans="14:14" ht="15.75" customHeight="1">
      <c r="N161" s="140"/>
    </row>
    <row r="162" spans="14:14" ht="15.75" customHeight="1">
      <c r="N162" s="140"/>
    </row>
    <row r="163" spans="14:14" ht="15.75" customHeight="1">
      <c r="N163" s="140"/>
    </row>
    <row r="164" spans="14:14" ht="15.75" customHeight="1">
      <c r="N164" s="140"/>
    </row>
    <row r="165" spans="14:14" ht="15.75" customHeight="1">
      <c r="N165" s="140"/>
    </row>
    <row r="166" spans="14:14" ht="15.75" customHeight="1">
      <c r="N166" s="140"/>
    </row>
    <row r="167" spans="14:14" ht="15.75" customHeight="1">
      <c r="N167" s="140"/>
    </row>
    <row r="168" spans="14:14" ht="15.75" customHeight="1">
      <c r="N168" s="140"/>
    </row>
    <row r="169" spans="14:14" ht="15.75" customHeight="1">
      <c r="N169" s="140"/>
    </row>
    <row r="170" spans="14:14" ht="15.75" customHeight="1">
      <c r="N170" s="140"/>
    </row>
    <row r="171" spans="14:14" ht="15.75" customHeight="1">
      <c r="N171" s="140"/>
    </row>
    <row r="172" spans="14:14" ht="15.75" customHeight="1">
      <c r="N172" s="140"/>
    </row>
    <row r="173" spans="14:14" ht="15.75" customHeight="1">
      <c r="N173" s="140"/>
    </row>
    <row r="174" spans="14:14" ht="15.75" customHeight="1">
      <c r="N174" s="140"/>
    </row>
    <row r="175" spans="14:14" ht="15.75" customHeight="1">
      <c r="N175" s="140"/>
    </row>
    <row r="176" spans="14:14" ht="15.75" customHeight="1">
      <c r="N176" s="140"/>
    </row>
    <row r="177" spans="14:14" ht="15.75" customHeight="1">
      <c r="N177" s="140"/>
    </row>
    <row r="178" spans="14:14" ht="15.75" customHeight="1">
      <c r="N178" s="140"/>
    </row>
    <row r="179" spans="14:14" ht="15.75" customHeight="1">
      <c r="N179" s="140"/>
    </row>
    <row r="180" spans="14:14" ht="15.75" customHeight="1">
      <c r="N180" s="140"/>
    </row>
    <row r="181" spans="14:14" ht="15.75" customHeight="1">
      <c r="N181" s="140"/>
    </row>
    <row r="182" spans="14:14" ht="15.75" customHeight="1">
      <c r="N182" s="140"/>
    </row>
    <row r="183" spans="14:14" ht="15.75" customHeight="1">
      <c r="N183" s="140"/>
    </row>
    <row r="184" spans="14:14" ht="15.75" customHeight="1">
      <c r="N184" s="140"/>
    </row>
    <row r="185" spans="14:14" ht="15.75" customHeight="1">
      <c r="N185" s="140"/>
    </row>
    <row r="186" spans="14:14" ht="15.75" customHeight="1">
      <c r="N186" s="140"/>
    </row>
    <row r="187" spans="14:14" ht="15.75" customHeight="1">
      <c r="N187" s="140"/>
    </row>
    <row r="188" spans="14:14" ht="15.75" customHeight="1">
      <c r="N188" s="140"/>
    </row>
    <row r="189" spans="14:14" ht="15.75" customHeight="1">
      <c r="N189" s="140"/>
    </row>
    <row r="190" spans="14:14" ht="15.75" customHeight="1">
      <c r="N190" s="140"/>
    </row>
    <row r="191" spans="14:14" ht="15.75" customHeight="1">
      <c r="N191" s="140"/>
    </row>
    <row r="192" spans="14:14" ht="15.75" customHeight="1">
      <c r="N192" s="140"/>
    </row>
    <row r="193" spans="14:14" ht="15.75" customHeight="1">
      <c r="N193" s="140"/>
    </row>
    <row r="194" spans="14:14" ht="15.75" customHeight="1">
      <c r="N194" s="140"/>
    </row>
    <row r="195" spans="14:14" ht="15.75" customHeight="1">
      <c r="N195" s="140"/>
    </row>
    <row r="196" spans="14:14" ht="15.75" customHeight="1">
      <c r="N196" s="140"/>
    </row>
    <row r="197" spans="14:14" ht="15.75" customHeight="1">
      <c r="N197" s="140"/>
    </row>
    <row r="198" spans="14:14" ht="15.75" customHeight="1">
      <c r="N198" s="140"/>
    </row>
    <row r="199" spans="14:14" ht="15.75" customHeight="1">
      <c r="N199" s="140"/>
    </row>
    <row r="200" spans="14:14" ht="15.75" customHeight="1">
      <c r="N200" s="140"/>
    </row>
    <row r="201" spans="14:14" ht="15.75" customHeight="1">
      <c r="N201" s="140"/>
    </row>
    <row r="202" spans="14:14" ht="15.75" customHeight="1">
      <c r="N202" s="140"/>
    </row>
    <row r="203" spans="14:14" ht="15.75" customHeight="1">
      <c r="N203" s="140"/>
    </row>
    <row r="204" spans="14:14" ht="15.75" customHeight="1">
      <c r="N204" s="140"/>
    </row>
    <row r="205" spans="14:14" ht="15.75" customHeight="1">
      <c r="N205" s="140"/>
    </row>
    <row r="206" spans="14:14" ht="15.75" customHeight="1">
      <c r="N206" s="140"/>
    </row>
    <row r="207" spans="14:14" ht="15.75" customHeight="1">
      <c r="N207" s="140"/>
    </row>
    <row r="208" spans="14:14" ht="15.75" customHeight="1">
      <c r="N208" s="140"/>
    </row>
    <row r="209" spans="14:14" ht="15.75" customHeight="1">
      <c r="N209" s="140"/>
    </row>
    <row r="210" spans="14:14" ht="15.75" customHeight="1">
      <c r="N210" s="140"/>
    </row>
    <row r="211" spans="14:14" ht="15.75" customHeight="1">
      <c r="N211" s="140"/>
    </row>
    <row r="212" spans="14:14" ht="15.75" customHeight="1">
      <c r="N212" s="140"/>
    </row>
    <row r="213" spans="14:14" ht="15.75" customHeight="1">
      <c r="N213" s="140"/>
    </row>
    <row r="214" spans="14:14" ht="15.75" customHeight="1">
      <c r="N214" s="140"/>
    </row>
    <row r="215" spans="14:14" ht="15.75" customHeight="1">
      <c r="N215" s="140"/>
    </row>
    <row r="216" spans="14:14" ht="15.75" customHeight="1">
      <c r="N216" s="140"/>
    </row>
    <row r="217" spans="14:14" ht="15.75" customHeight="1">
      <c r="N217" s="140"/>
    </row>
    <row r="218" spans="14:14" ht="15.75" customHeight="1">
      <c r="N218" s="140"/>
    </row>
    <row r="219" spans="14:14" ht="15.75" customHeight="1">
      <c r="N219" s="140"/>
    </row>
    <row r="220" spans="14:14" ht="15.75" customHeight="1">
      <c r="N220" s="140"/>
    </row>
    <row r="221" spans="14:14" ht="15.75" customHeight="1">
      <c r="N221" s="140"/>
    </row>
    <row r="222" spans="14:14" ht="15.75" customHeight="1">
      <c r="N222" s="140"/>
    </row>
    <row r="223" spans="14:14" ht="15.75" customHeight="1">
      <c r="N223" s="140"/>
    </row>
    <row r="224" spans="14:14" ht="15.75" customHeight="1">
      <c r="N224" s="140"/>
    </row>
    <row r="225" spans="14:14" ht="15.75" customHeight="1">
      <c r="N225" s="140"/>
    </row>
    <row r="226" spans="14:14" ht="15.75" customHeight="1">
      <c r="N226" s="140"/>
    </row>
    <row r="227" spans="14:14" ht="15.75" customHeight="1">
      <c r="N227" s="140"/>
    </row>
    <row r="228" spans="14:14" ht="15.75" customHeight="1">
      <c r="N228" s="140"/>
    </row>
    <row r="229" spans="14:14" ht="15.75" customHeight="1">
      <c r="N229" s="140"/>
    </row>
    <row r="230" spans="14:14" ht="15.75" customHeight="1">
      <c r="N230" s="140"/>
    </row>
    <row r="231" spans="14:14" ht="15.75" customHeight="1">
      <c r="N231" s="140"/>
    </row>
    <row r="232" spans="14:14" ht="15.75" customHeight="1">
      <c r="N232" s="140"/>
    </row>
    <row r="233" spans="14:14" ht="15.75" customHeight="1">
      <c r="N233" s="140"/>
    </row>
    <row r="234" spans="14:14" ht="15.75" customHeight="1">
      <c r="N234" s="140"/>
    </row>
    <row r="235" spans="14:14" ht="15.75" customHeight="1">
      <c r="N235" s="140"/>
    </row>
    <row r="236" spans="14:14" ht="15.75" customHeight="1">
      <c r="N236" s="140"/>
    </row>
    <row r="237" spans="14:14" ht="15.75" customHeight="1">
      <c r="N237" s="140"/>
    </row>
    <row r="238" spans="14:14" ht="15.75" customHeight="1">
      <c r="N238" s="140"/>
    </row>
    <row r="239" spans="14:14" ht="15.75" customHeight="1">
      <c r="N239" s="140"/>
    </row>
    <row r="240" spans="14:14" ht="15.75" customHeight="1">
      <c r="N240" s="140"/>
    </row>
    <row r="241" spans="14:14" ht="15.75" customHeight="1">
      <c r="N241" s="140"/>
    </row>
    <row r="242" spans="14:14" ht="15.75" customHeight="1">
      <c r="N242" s="140"/>
    </row>
    <row r="243" spans="14:14" ht="15.75" customHeight="1">
      <c r="N243" s="140"/>
    </row>
    <row r="244" spans="14:14" ht="15.75" customHeight="1">
      <c r="N244" s="140"/>
    </row>
    <row r="245" spans="14:14" ht="15.75" customHeight="1">
      <c r="N245" s="140"/>
    </row>
    <row r="246" spans="14:14" ht="15.75" customHeight="1">
      <c r="N246" s="140"/>
    </row>
    <row r="247" spans="14:14" ht="15.75" customHeight="1">
      <c r="N247" s="140"/>
    </row>
    <row r="248" spans="14:14" ht="15.75" customHeight="1">
      <c r="N248" s="140"/>
    </row>
    <row r="249" spans="14:14" ht="15.75" customHeight="1">
      <c r="N249" s="140"/>
    </row>
    <row r="250" spans="14:14" ht="15.75" customHeight="1">
      <c r="N250" s="140"/>
    </row>
    <row r="251" spans="14:14" ht="15.75" customHeight="1">
      <c r="N251" s="140"/>
    </row>
    <row r="252" spans="14:14" ht="15.75" customHeight="1">
      <c r="N252" s="140"/>
    </row>
    <row r="253" spans="14:14" ht="15.75" customHeight="1">
      <c r="N253" s="140"/>
    </row>
    <row r="254" spans="14:14" ht="15.75" customHeight="1">
      <c r="N254" s="140"/>
    </row>
    <row r="255" spans="14:14" ht="15.75" customHeight="1">
      <c r="N255" s="140"/>
    </row>
    <row r="256" spans="14:14" ht="15.75" customHeight="1">
      <c r="N256" s="140"/>
    </row>
    <row r="257" spans="14:14" ht="15.75" customHeight="1">
      <c r="N257" s="140"/>
    </row>
    <row r="258" spans="14:14" ht="15.75" customHeight="1">
      <c r="N258" s="140"/>
    </row>
    <row r="259" spans="14:14" ht="15.75" customHeight="1">
      <c r="N259" s="140"/>
    </row>
    <row r="260" spans="14:14" ht="15.75" customHeight="1">
      <c r="N260" s="140"/>
    </row>
    <row r="261" spans="14:14" ht="15.75" customHeight="1">
      <c r="N261" s="140"/>
    </row>
    <row r="262" spans="14:14" ht="15.75" customHeight="1">
      <c r="N262" s="140"/>
    </row>
    <row r="263" spans="14:14" ht="15.75" customHeight="1">
      <c r="N263" s="140"/>
    </row>
    <row r="264" spans="14:14" ht="15.75" customHeight="1">
      <c r="N264" s="140"/>
    </row>
    <row r="265" spans="14:14" ht="15.75" customHeight="1">
      <c r="N265" s="140"/>
    </row>
    <row r="266" spans="14:14" ht="15.75" customHeight="1">
      <c r="N266" s="140"/>
    </row>
    <row r="267" spans="14:14" ht="15.75" customHeight="1">
      <c r="N267" s="140"/>
    </row>
    <row r="268" spans="14:14" ht="15.75" customHeight="1">
      <c r="N268" s="140"/>
    </row>
    <row r="269" spans="14:14" ht="15.75" customHeight="1">
      <c r="N269" s="140"/>
    </row>
    <row r="270" spans="14:14" ht="15.75" customHeight="1">
      <c r="N270" s="140"/>
    </row>
    <row r="271" spans="14:14" ht="15.75" customHeight="1">
      <c r="N271" s="140"/>
    </row>
    <row r="272" spans="14:14" ht="15.75" customHeight="1">
      <c r="N272" s="140"/>
    </row>
    <row r="273" spans="14:14" ht="15.75" customHeight="1">
      <c r="N273" s="140"/>
    </row>
    <row r="274" spans="14:14" ht="15.75" customHeight="1">
      <c r="N274" s="140"/>
    </row>
    <row r="275" spans="14:14" ht="15.75" customHeight="1">
      <c r="N275" s="140"/>
    </row>
    <row r="276" spans="14:14" ht="15.75" customHeight="1">
      <c r="N276" s="140"/>
    </row>
    <row r="277" spans="14:14" ht="15.75" customHeight="1">
      <c r="N277" s="140"/>
    </row>
    <row r="278" spans="14:14" ht="15.75" customHeight="1">
      <c r="N278" s="140"/>
    </row>
    <row r="279" spans="14:14" ht="15.75" customHeight="1">
      <c r="N279" s="140"/>
    </row>
    <row r="280" spans="14:14" ht="15.75" customHeight="1">
      <c r="N280" s="140"/>
    </row>
    <row r="281" spans="14:14" ht="15.75" customHeight="1">
      <c r="N281" s="140"/>
    </row>
    <row r="282" spans="14:14" ht="15.75" customHeight="1">
      <c r="N282" s="140"/>
    </row>
    <row r="283" spans="14:14" ht="15.75" customHeight="1">
      <c r="N283" s="140"/>
    </row>
    <row r="284" spans="14:14" ht="15.75" customHeight="1">
      <c r="N284" s="140"/>
    </row>
    <row r="285" spans="14:14" ht="15.75" customHeight="1">
      <c r="N285" s="140"/>
    </row>
    <row r="286" spans="14:14" ht="15.75" customHeight="1">
      <c r="N286" s="140"/>
    </row>
    <row r="287" spans="14:14" ht="15.75" customHeight="1">
      <c r="N287" s="140"/>
    </row>
    <row r="288" spans="14:14" ht="15.75" customHeight="1">
      <c r="N288" s="140"/>
    </row>
    <row r="289" spans="14:14" ht="15.75" customHeight="1">
      <c r="N289" s="140"/>
    </row>
    <row r="290" spans="14:14" ht="15.75" customHeight="1">
      <c r="N290" s="140"/>
    </row>
    <row r="291" spans="14:14" ht="15.75" customHeight="1">
      <c r="N291" s="140"/>
    </row>
    <row r="292" spans="14:14" ht="15.75" customHeight="1">
      <c r="N292" s="140"/>
    </row>
    <row r="293" spans="14:14" ht="15.75" customHeight="1">
      <c r="N293" s="140"/>
    </row>
    <row r="294" spans="14:14" ht="15.75" customHeight="1">
      <c r="N294" s="140"/>
    </row>
    <row r="295" spans="14:14" ht="15.75" customHeight="1">
      <c r="N295" s="140"/>
    </row>
    <row r="296" spans="14:14" ht="15.75" customHeight="1">
      <c r="N296" s="140"/>
    </row>
    <row r="297" spans="14:14" ht="15.75" customHeight="1">
      <c r="N297" s="140"/>
    </row>
    <row r="298" spans="14:14" ht="15.75" customHeight="1">
      <c r="N298" s="140"/>
    </row>
    <row r="299" spans="14:14" ht="15.75" customHeight="1">
      <c r="N299" s="140"/>
    </row>
    <row r="300" spans="14:14" ht="15.75" customHeight="1">
      <c r="N300" s="140"/>
    </row>
    <row r="301" spans="14:14" ht="15.75" customHeight="1">
      <c r="N301" s="140"/>
    </row>
    <row r="302" spans="14:14" ht="15.75" customHeight="1">
      <c r="N302" s="140"/>
    </row>
    <row r="303" spans="14:14" ht="15.75" customHeight="1">
      <c r="N303" s="140"/>
    </row>
    <row r="304" spans="14:14" ht="15.75" customHeight="1">
      <c r="N304" s="140"/>
    </row>
    <row r="305" spans="14:14" ht="15.75" customHeight="1">
      <c r="N305" s="140"/>
    </row>
    <row r="306" spans="14:14" ht="15.75" customHeight="1">
      <c r="N306" s="140"/>
    </row>
    <row r="307" spans="14:14" ht="15.75" customHeight="1">
      <c r="N307" s="140"/>
    </row>
    <row r="308" spans="14:14" ht="15.75" customHeight="1">
      <c r="N308" s="140"/>
    </row>
    <row r="309" spans="14:14" ht="15.75" customHeight="1">
      <c r="N309" s="140"/>
    </row>
    <row r="310" spans="14:14" ht="15.75" customHeight="1">
      <c r="N310" s="140"/>
    </row>
    <row r="311" spans="14:14" ht="15.75" customHeight="1">
      <c r="N311" s="140"/>
    </row>
    <row r="312" spans="14:14" ht="15.75" customHeight="1">
      <c r="N312" s="140"/>
    </row>
    <row r="313" spans="14:14" ht="15.75" customHeight="1">
      <c r="N313" s="140"/>
    </row>
    <row r="314" spans="14:14" ht="15.75" customHeight="1">
      <c r="N314" s="140"/>
    </row>
    <row r="315" spans="14:14" ht="15.75" customHeight="1">
      <c r="N315" s="140"/>
    </row>
    <row r="316" spans="14:14" ht="15.75" customHeight="1">
      <c r="N316" s="140"/>
    </row>
    <row r="317" spans="14:14" ht="15.75" customHeight="1">
      <c r="N317" s="140"/>
    </row>
    <row r="318" spans="14:14" ht="15.75" customHeight="1">
      <c r="N318" s="140"/>
    </row>
    <row r="319" spans="14:14" ht="15.75" customHeight="1">
      <c r="N319" s="140"/>
    </row>
    <row r="320" spans="14:14" ht="15.75" customHeight="1">
      <c r="N320" s="140"/>
    </row>
    <row r="321" spans="14:14" ht="15.75" customHeight="1">
      <c r="N321" s="140"/>
    </row>
    <row r="322" spans="14:14" ht="15.75" customHeight="1">
      <c r="N322" s="140"/>
    </row>
    <row r="323" spans="14:14" ht="15.75" customHeight="1">
      <c r="N323" s="140"/>
    </row>
    <row r="324" spans="14:14" ht="15.75" customHeight="1">
      <c r="N324" s="140"/>
    </row>
    <row r="325" spans="14:14" ht="15.75" customHeight="1">
      <c r="N325" s="140"/>
    </row>
    <row r="326" spans="14:14" ht="15.75" customHeight="1">
      <c r="N326" s="140"/>
    </row>
    <row r="327" spans="14:14" ht="15.75" customHeight="1">
      <c r="N327" s="140"/>
    </row>
    <row r="328" spans="14:14" ht="15.75" customHeight="1">
      <c r="N328" s="140"/>
    </row>
    <row r="329" spans="14:14" ht="15.75" customHeight="1">
      <c r="N329" s="140"/>
    </row>
    <row r="330" spans="14:14" ht="15.75" customHeight="1">
      <c r="N330" s="140"/>
    </row>
    <row r="331" spans="14:14" ht="15.75" customHeight="1">
      <c r="N331" s="140"/>
    </row>
    <row r="332" spans="14:14" ht="15.75" customHeight="1">
      <c r="N332" s="140"/>
    </row>
    <row r="333" spans="14:14" ht="15.75" customHeight="1">
      <c r="N333" s="140"/>
    </row>
    <row r="334" spans="14:14" ht="15.75" customHeight="1">
      <c r="N334" s="140"/>
    </row>
    <row r="335" spans="14:14" ht="15.75" customHeight="1">
      <c r="N335" s="140"/>
    </row>
    <row r="336" spans="14:14" ht="15.75" customHeight="1">
      <c r="N336" s="140"/>
    </row>
    <row r="337" spans="14:14" ht="15.75" customHeight="1">
      <c r="N337" s="140"/>
    </row>
    <row r="338" spans="14:14" ht="15.75" customHeight="1">
      <c r="N338" s="140"/>
    </row>
    <row r="339" spans="14:14" ht="15.75" customHeight="1">
      <c r="N339" s="140"/>
    </row>
    <row r="340" spans="14:14" ht="15.75" customHeight="1">
      <c r="N340" s="140"/>
    </row>
    <row r="341" spans="14:14" ht="15.75" customHeight="1">
      <c r="N341" s="140"/>
    </row>
    <row r="342" spans="14:14" ht="15.75" customHeight="1">
      <c r="N342" s="140"/>
    </row>
    <row r="343" spans="14:14" ht="15.75" customHeight="1">
      <c r="N343" s="140"/>
    </row>
    <row r="344" spans="14:14" ht="15.75" customHeight="1">
      <c r="N344" s="140"/>
    </row>
    <row r="345" spans="14:14" ht="15.75" customHeight="1">
      <c r="N345" s="140"/>
    </row>
    <row r="346" spans="14:14" ht="15.75" customHeight="1">
      <c r="N346" s="140"/>
    </row>
    <row r="347" spans="14:14" ht="15.75" customHeight="1">
      <c r="N347" s="140"/>
    </row>
    <row r="348" spans="14:14" ht="15.75" customHeight="1">
      <c r="N348" s="140"/>
    </row>
    <row r="349" spans="14:14" ht="15.75" customHeight="1">
      <c r="N349" s="140"/>
    </row>
    <row r="350" spans="14:14" ht="15.75" customHeight="1">
      <c r="N350" s="140"/>
    </row>
    <row r="351" spans="14:14" ht="15.75" customHeight="1">
      <c r="N351" s="140"/>
    </row>
    <row r="352" spans="14:14" ht="15.75" customHeight="1">
      <c r="N352" s="140"/>
    </row>
    <row r="353" spans="14:14" ht="15.75" customHeight="1">
      <c r="N353" s="140"/>
    </row>
    <row r="354" spans="14:14" ht="15.75" customHeight="1">
      <c r="N354" s="140"/>
    </row>
    <row r="355" spans="14:14" ht="15.75" customHeight="1">
      <c r="N355" s="140"/>
    </row>
    <row r="356" spans="14:14" ht="15.75" customHeight="1">
      <c r="N356" s="140"/>
    </row>
    <row r="357" spans="14:14" ht="15.75" customHeight="1">
      <c r="N357" s="140"/>
    </row>
    <row r="358" spans="14:14" ht="15.75" customHeight="1">
      <c r="N358" s="140"/>
    </row>
    <row r="359" spans="14:14" ht="15.75" customHeight="1">
      <c r="N359" s="140"/>
    </row>
    <row r="360" spans="14:14" ht="15.75" customHeight="1">
      <c r="N360" s="140"/>
    </row>
    <row r="361" spans="14:14" ht="15.75" customHeight="1">
      <c r="N361" s="140"/>
    </row>
    <row r="362" spans="14:14" ht="15.75" customHeight="1">
      <c r="N362" s="140"/>
    </row>
    <row r="363" spans="14:14" ht="15.75" customHeight="1">
      <c r="N363" s="140"/>
    </row>
    <row r="364" spans="14:14" ht="15.75" customHeight="1">
      <c r="N364" s="140"/>
    </row>
    <row r="365" spans="14:14" ht="15.75" customHeight="1">
      <c r="N365" s="140"/>
    </row>
    <row r="366" spans="14:14" ht="15.75" customHeight="1">
      <c r="N366" s="140"/>
    </row>
    <row r="367" spans="14:14" ht="15.75" customHeight="1">
      <c r="N367" s="140"/>
    </row>
    <row r="368" spans="14:14" ht="15.75" customHeight="1">
      <c r="N368" s="140"/>
    </row>
    <row r="369" spans="14:14" ht="15.75" customHeight="1">
      <c r="N369" s="140"/>
    </row>
    <row r="370" spans="14:14" ht="15.75" customHeight="1">
      <c r="N370" s="140"/>
    </row>
    <row r="371" spans="14:14" ht="15.75" customHeight="1">
      <c r="N371" s="140"/>
    </row>
    <row r="372" spans="14:14" ht="15.75" customHeight="1">
      <c r="N372" s="140"/>
    </row>
    <row r="373" spans="14:14" ht="15.75" customHeight="1">
      <c r="N373" s="140"/>
    </row>
    <row r="374" spans="14:14" ht="15.75" customHeight="1">
      <c r="N374" s="140"/>
    </row>
    <row r="375" spans="14:14" ht="15.75" customHeight="1">
      <c r="N375" s="140"/>
    </row>
    <row r="376" spans="14:14" ht="15.75" customHeight="1">
      <c r="N376" s="140"/>
    </row>
    <row r="377" spans="14:14" ht="15.75" customHeight="1">
      <c r="N377" s="140"/>
    </row>
    <row r="378" spans="14:14" ht="15.75" customHeight="1">
      <c r="N378" s="140"/>
    </row>
    <row r="379" spans="14:14" ht="15.75" customHeight="1">
      <c r="N379" s="140"/>
    </row>
    <row r="380" spans="14:14" ht="15.75" customHeight="1">
      <c r="N380" s="140"/>
    </row>
    <row r="381" spans="14:14" ht="15.75" customHeight="1">
      <c r="N381" s="140"/>
    </row>
    <row r="382" spans="14:14" ht="15.75" customHeight="1">
      <c r="N382" s="140"/>
    </row>
    <row r="383" spans="14:14" ht="15.75" customHeight="1">
      <c r="N383" s="140"/>
    </row>
    <row r="384" spans="14:14" ht="15.75" customHeight="1">
      <c r="N384" s="140"/>
    </row>
    <row r="385" spans="14:14" ht="15.75" customHeight="1">
      <c r="N385" s="140"/>
    </row>
    <row r="386" spans="14:14" ht="15.75" customHeight="1">
      <c r="N386" s="140"/>
    </row>
    <row r="387" spans="14:14" ht="15.75" customHeight="1">
      <c r="N387" s="140"/>
    </row>
    <row r="388" spans="14:14" ht="15.75" customHeight="1">
      <c r="N388" s="140"/>
    </row>
    <row r="389" spans="14:14" ht="15.75" customHeight="1">
      <c r="N389" s="140"/>
    </row>
    <row r="390" spans="14:14" ht="15.75" customHeight="1">
      <c r="N390" s="140"/>
    </row>
    <row r="391" spans="14:14" ht="15.75" customHeight="1">
      <c r="N391" s="140"/>
    </row>
    <row r="392" spans="14:14" ht="15.75" customHeight="1">
      <c r="N392" s="140"/>
    </row>
    <row r="393" spans="14:14" ht="15.75" customHeight="1">
      <c r="N393" s="140"/>
    </row>
    <row r="394" spans="14:14" ht="15.75" customHeight="1">
      <c r="N394" s="140"/>
    </row>
    <row r="395" spans="14:14" ht="15.75" customHeight="1">
      <c r="N395" s="140"/>
    </row>
    <row r="396" spans="14:14" ht="15.75" customHeight="1">
      <c r="N396" s="140"/>
    </row>
    <row r="397" spans="14:14" ht="15.75" customHeight="1">
      <c r="N397" s="140"/>
    </row>
    <row r="398" spans="14:14" ht="15.75" customHeight="1">
      <c r="N398" s="140"/>
    </row>
    <row r="399" spans="14:14" ht="15.75" customHeight="1">
      <c r="N399" s="140"/>
    </row>
    <row r="400" spans="14:14" ht="15.75" customHeight="1">
      <c r="N400" s="140"/>
    </row>
    <row r="401" spans="14:14" ht="15.75" customHeight="1">
      <c r="N401" s="140"/>
    </row>
    <row r="402" spans="14:14" ht="15.75" customHeight="1">
      <c r="N402" s="140"/>
    </row>
    <row r="403" spans="14:14" ht="15.75" customHeight="1">
      <c r="N403" s="140"/>
    </row>
    <row r="404" spans="14:14" ht="15.75" customHeight="1">
      <c r="N404" s="140"/>
    </row>
    <row r="405" spans="14:14" ht="15.75" customHeight="1">
      <c r="N405" s="140"/>
    </row>
    <row r="406" spans="14:14" ht="15.75" customHeight="1">
      <c r="N406" s="140"/>
    </row>
    <row r="407" spans="14:14" ht="15.75" customHeight="1">
      <c r="N407" s="140"/>
    </row>
    <row r="408" spans="14:14" ht="15.75" customHeight="1">
      <c r="N408" s="140"/>
    </row>
    <row r="409" spans="14:14" ht="15.75" customHeight="1">
      <c r="N409" s="140"/>
    </row>
    <row r="410" spans="14:14" ht="15.75" customHeight="1">
      <c r="N410" s="140"/>
    </row>
    <row r="411" spans="14:14" ht="15.75" customHeight="1">
      <c r="N411" s="140"/>
    </row>
    <row r="412" spans="14:14" ht="15.75" customHeight="1">
      <c r="N412" s="140"/>
    </row>
    <row r="413" spans="14:14" ht="15.75" customHeight="1">
      <c r="N413" s="140"/>
    </row>
    <row r="414" spans="14:14" ht="15.75" customHeight="1">
      <c r="N414" s="140"/>
    </row>
    <row r="415" spans="14:14" ht="15.75" customHeight="1">
      <c r="N415" s="140"/>
    </row>
    <row r="416" spans="14:14" ht="15.75" customHeight="1">
      <c r="N416" s="140"/>
    </row>
    <row r="417" spans="14:14" ht="15.75" customHeight="1">
      <c r="N417" s="140"/>
    </row>
    <row r="418" spans="14:14" ht="15.75" customHeight="1">
      <c r="N418" s="140"/>
    </row>
    <row r="419" spans="14:14" ht="15.75" customHeight="1">
      <c r="N419" s="140"/>
    </row>
    <row r="420" spans="14:14" ht="15.75" customHeight="1">
      <c r="N420" s="140"/>
    </row>
    <row r="421" spans="14:14" ht="15.75" customHeight="1">
      <c r="N421" s="140"/>
    </row>
    <row r="422" spans="14:14" ht="15.75" customHeight="1">
      <c r="N422" s="140"/>
    </row>
    <row r="423" spans="14:14" ht="15.75" customHeight="1">
      <c r="N423" s="140"/>
    </row>
    <row r="424" spans="14:14" ht="15.75" customHeight="1">
      <c r="N424" s="140"/>
    </row>
    <row r="425" spans="14:14" ht="15.75" customHeight="1">
      <c r="N425" s="140"/>
    </row>
    <row r="426" spans="14:14" ht="15.75" customHeight="1">
      <c r="N426" s="140"/>
    </row>
    <row r="427" spans="14:14" ht="15.75" customHeight="1">
      <c r="N427" s="140"/>
    </row>
    <row r="428" spans="14:14" ht="15.75" customHeight="1">
      <c r="N428" s="140"/>
    </row>
    <row r="429" spans="14:14" ht="15.75" customHeight="1">
      <c r="N429" s="140"/>
    </row>
    <row r="430" spans="14:14" ht="15.75" customHeight="1">
      <c r="N430" s="140"/>
    </row>
    <row r="431" spans="14:14" ht="15.75" customHeight="1">
      <c r="N431" s="140"/>
    </row>
    <row r="432" spans="14:14" ht="15.75" customHeight="1">
      <c r="N432" s="140"/>
    </row>
    <row r="433" spans="14:14" ht="15.75" customHeight="1">
      <c r="N433" s="140"/>
    </row>
    <row r="434" spans="14:14" ht="15.75" customHeight="1">
      <c r="N434" s="140"/>
    </row>
    <row r="435" spans="14:14" ht="15.75" customHeight="1">
      <c r="N435" s="140"/>
    </row>
    <row r="436" spans="14:14" ht="15.75" customHeight="1">
      <c r="N436" s="140"/>
    </row>
    <row r="437" spans="14:14" ht="15.75" customHeight="1">
      <c r="N437" s="140"/>
    </row>
    <row r="438" spans="14:14" ht="15.75" customHeight="1">
      <c r="N438" s="140"/>
    </row>
    <row r="439" spans="14:14" ht="15.75" customHeight="1">
      <c r="N439" s="140"/>
    </row>
    <row r="440" spans="14:14" ht="15.75" customHeight="1">
      <c r="N440" s="140"/>
    </row>
    <row r="441" spans="14:14" ht="15.75" customHeight="1">
      <c r="N441" s="140"/>
    </row>
    <row r="442" spans="14:14" ht="15.75" customHeight="1">
      <c r="N442" s="140"/>
    </row>
    <row r="443" spans="14:14" ht="15.75" customHeight="1">
      <c r="N443" s="140"/>
    </row>
    <row r="444" spans="14:14" ht="15.75" customHeight="1">
      <c r="N444" s="140"/>
    </row>
    <row r="445" spans="14:14" ht="15.75" customHeight="1">
      <c r="N445" s="140"/>
    </row>
    <row r="446" spans="14:14" ht="15.75" customHeight="1">
      <c r="N446" s="140"/>
    </row>
    <row r="447" spans="14:14" ht="15.75" customHeight="1">
      <c r="N447" s="140"/>
    </row>
    <row r="448" spans="14:14" ht="15.75" customHeight="1">
      <c r="N448" s="140"/>
    </row>
    <row r="449" spans="14:14" ht="15.75" customHeight="1">
      <c r="N449" s="140"/>
    </row>
    <row r="450" spans="14:14" ht="15.75" customHeight="1">
      <c r="N450" s="140"/>
    </row>
    <row r="451" spans="14:14" ht="15.75" customHeight="1">
      <c r="N451" s="140"/>
    </row>
    <row r="452" spans="14:14" ht="15.75" customHeight="1">
      <c r="N452" s="140"/>
    </row>
    <row r="453" spans="14:14" ht="15.75" customHeight="1">
      <c r="N453" s="140"/>
    </row>
    <row r="454" spans="14:14" ht="15.75" customHeight="1">
      <c r="N454" s="140"/>
    </row>
    <row r="455" spans="14:14" ht="15.75" customHeight="1">
      <c r="N455" s="140"/>
    </row>
    <row r="456" spans="14:14" ht="15.75" customHeight="1">
      <c r="N456" s="140"/>
    </row>
    <row r="457" spans="14:14" ht="15.75" customHeight="1">
      <c r="N457" s="140"/>
    </row>
    <row r="458" spans="14:14" ht="15.75" customHeight="1">
      <c r="N458" s="140"/>
    </row>
    <row r="459" spans="14:14" ht="15.75" customHeight="1">
      <c r="N459" s="140"/>
    </row>
    <row r="460" spans="14:14" ht="15.75" customHeight="1">
      <c r="N460" s="140"/>
    </row>
    <row r="461" spans="14:14" ht="15.75" customHeight="1">
      <c r="N461" s="140"/>
    </row>
    <row r="462" spans="14:14" ht="15.75" customHeight="1">
      <c r="N462" s="140"/>
    </row>
    <row r="463" spans="14:14" ht="15.75" customHeight="1">
      <c r="N463" s="140"/>
    </row>
    <row r="464" spans="14:14" ht="15.75" customHeight="1">
      <c r="N464" s="140"/>
    </row>
    <row r="465" spans="14:14" ht="15.75" customHeight="1">
      <c r="N465" s="140"/>
    </row>
    <row r="466" spans="14:14" ht="15.75" customHeight="1">
      <c r="N466" s="140"/>
    </row>
    <row r="467" spans="14:14" ht="15.75" customHeight="1">
      <c r="N467" s="140"/>
    </row>
    <row r="468" spans="14:14" ht="15.75" customHeight="1">
      <c r="N468" s="140"/>
    </row>
    <row r="469" spans="14:14" ht="15.75" customHeight="1">
      <c r="N469" s="140"/>
    </row>
    <row r="470" spans="14:14" ht="15.75" customHeight="1">
      <c r="N470" s="140"/>
    </row>
    <row r="471" spans="14:14" ht="15.75" customHeight="1">
      <c r="N471" s="140"/>
    </row>
    <row r="472" spans="14:14" ht="15.75" customHeight="1">
      <c r="N472" s="140"/>
    </row>
    <row r="473" spans="14:14" ht="15.75" customHeight="1">
      <c r="N473" s="140"/>
    </row>
    <row r="474" spans="14:14" ht="15.75" customHeight="1">
      <c r="N474" s="140"/>
    </row>
    <row r="475" spans="14:14" ht="15.75" customHeight="1">
      <c r="N475" s="140"/>
    </row>
    <row r="476" spans="14:14" ht="15.75" customHeight="1">
      <c r="N476" s="140"/>
    </row>
    <row r="477" spans="14:14" ht="15.75" customHeight="1">
      <c r="N477" s="140"/>
    </row>
    <row r="478" spans="14:14" ht="15.75" customHeight="1">
      <c r="N478" s="140"/>
    </row>
    <row r="479" spans="14:14" ht="15.75" customHeight="1">
      <c r="N479" s="140"/>
    </row>
    <row r="480" spans="14:14" ht="15.75" customHeight="1">
      <c r="N480" s="140"/>
    </row>
    <row r="481" spans="14:14" ht="15.75" customHeight="1">
      <c r="N481" s="140"/>
    </row>
    <row r="482" spans="14:14" ht="15.75" customHeight="1">
      <c r="N482" s="140"/>
    </row>
    <row r="483" spans="14:14" ht="15.75" customHeight="1">
      <c r="N483" s="140"/>
    </row>
    <row r="484" spans="14:14" ht="15.75" customHeight="1">
      <c r="N484" s="140"/>
    </row>
    <row r="485" spans="14:14" ht="15.75" customHeight="1">
      <c r="N485" s="140"/>
    </row>
    <row r="486" spans="14:14" ht="15.75" customHeight="1">
      <c r="N486" s="140"/>
    </row>
    <row r="487" spans="14:14" ht="15.75" customHeight="1">
      <c r="N487" s="140"/>
    </row>
    <row r="488" spans="14:14" ht="15.75" customHeight="1">
      <c r="N488" s="140"/>
    </row>
    <row r="489" spans="14:14" ht="15.75" customHeight="1">
      <c r="N489" s="140"/>
    </row>
    <row r="490" spans="14:14" ht="15.75" customHeight="1">
      <c r="N490" s="140"/>
    </row>
    <row r="491" spans="14:14" ht="15.75" customHeight="1">
      <c r="N491" s="140"/>
    </row>
    <row r="492" spans="14:14" ht="15.75" customHeight="1">
      <c r="N492" s="140"/>
    </row>
    <row r="493" spans="14:14" ht="15.75" customHeight="1">
      <c r="N493" s="140"/>
    </row>
    <row r="494" spans="14:14" ht="15.75" customHeight="1">
      <c r="N494" s="140"/>
    </row>
    <row r="495" spans="14:14" ht="15.75" customHeight="1">
      <c r="N495" s="140"/>
    </row>
    <row r="496" spans="14:14" ht="15.75" customHeight="1">
      <c r="N496" s="140"/>
    </row>
    <row r="497" spans="14:14" ht="15.75" customHeight="1">
      <c r="N497" s="140"/>
    </row>
    <row r="498" spans="14:14" ht="15.75" customHeight="1">
      <c r="N498" s="140"/>
    </row>
    <row r="499" spans="14:14" ht="15.75" customHeight="1">
      <c r="N499" s="140"/>
    </row>
    <row r="500" spans="14:14" ht="15.75" customHeight="1">
      <c r="N500" s="140"/>
    </row>
    <row r="501" spans="14:14" ht="15.75" customHeight="1">
      <c r="N501" s="140"/>
    </row>
    <row r="502" spans="14:14" ht="15.75" customHeight="1">
      <c r="N502" s="140"/>
    </row>
    <row r="503" spans="14:14" ht="15.75" customHeight="1">
      <c r="N503" s="140"/>
    </row>
    <row r="504" spans="14:14" ht="15.75" customHeight="1">
      <c r="N504" s="140"/>
    </row>
    <row r="505" spans="14:14" ht="15.75" customHeight="1">
      <c r="N505" s="140"/>
    </row>
    <row r="506" spans="14:14" ht="15.75" customHeight="1">
      <c r="N506" s="140"/>
    </row>
    <row r="507" spans="14:14" ht="15.75" customHeight="1">
      <c r="N507" s="140"/>
    </row>
    <row r="508" spans="14:14" ht="15.75" customHeight="1">
      <c r="N508" s="140"/>
    </row>
    <row r="509" spans="14:14" ht="15.75" customHeight="1">
      <c r="N509" s="140"/>
    </row>
    <row r="510" spans="14:14" ht="15.75" customHeight="1">
      <c r="N510" s="140"/>
    </row>
    <row r="511" spans="14:14" ht="15.75" customHeight="1">
      <c r="N511" s="140"/>
    </row>
    <row r="512" spans="14:14" ht="15.75" customHeight="1">
      <c r="N512" s="140"/>
    </row>
    <row r="513" spans="14:14" ht="15.75" customHeight="1">
      <c r="N513" s="140"/>
    </row>
    <row r="514" spans="14:14" ht="15.75" customHeight="1">
      <c r="N514" s="140"/>
    </row>
    <row r="515" spans="14:14" ht="15.75" customHeight="1">
      <c r="N515" s="140"/>
    </row>
    <row r="516" spans="14:14" ht="15.75" customHeight="1">
      <c r="N516" s="140"/>
    </row>
    <row r="517" spans="14:14" ht="15.75" customHeight="1">
      <c r="N517" s="140"/>
    </row>
    <row r="518" spans="14:14" ht="15.75" customHeight="1">
      <c r="N518" s="140"/>
    </row>
    <row r="519" spans="14:14" ht="15.75" customHeight="1">
      <c r="N519" s="140"/>
    </row>
    <row r="520" spans="14:14" ht="15.75" customHeight="1">
      <c r="N520" s="140"/>
    </row>
    <row r="521" spans="14:14" ht="15.75" customHeight="1">
      <c r="N521" s="140"/>
    </row>
    <row r="522" spans="14:14" ht="15.75" customHeight="1">
      <c r="N522" s="140"/>
    </row>
    <row r="523" spans="14:14" ht="15.75" customHeight="1">
      <c r="N523" s="140"/>
    </row>
    <row r="524" spans="14:14" ht="15.75" customHeight="1">
      <c r="N524" s="140"/>
    </row>
    <row r="525" spans="14:14" ht="15.75" customHeight="1">
      <c r="N525" s="140"/>
    </row>
    <row r="526" spans="14:14" ht="15.75" customHeight="1">
      <c r="N526" s="140"/>
    </row>
    <row r="527" spans="14:14" ht="15.75" customHeight="1">
      <c r="N527" s="140"/>
    </row>
    <row r="528" spans="14:14" ht="15.75" customHeight="1">
      <c r="N528" s="140"/>
    </row>
    <row r="529" spans="14:14" ht="15.75" customHeight="1">
      <c r="N529" s="140"/>
    </row>
    <row r="530" spans="14:14" ht="15.75" customHeight="1">
      <c r="N530" s="140"/>
    </row>
    <row r="531" spans="14:14" ht="15.75" customHeight="1">
      <c r="N531" s="140"/>
    </row>
    <row r="532" spans="14:14" ht="15.75" customHeight="1">
      <c r="N532" s="140"/>
    </row>
    <row r="533" spans="14:14" ht="15.75" customHeight="1">
      <c r="N533" s="140"/>
    </row>
    <row r="534" spans="14:14" ht="15.75" customHeight="1">
      <c r="N534" s="140"/>
    </row>
    <row r="535" spans="14:14" ht="15.75" customHeight="1">
      <c r="N535" s="140"/>
    </row>
    <row r="536" spans="14:14" ht="15.75" customHeight="1">
      <c r="N536" s="140"/>
    </row>
    <row r="537" spans="14:14" ht="15.75" customHeight="1">
      <c r="N537" s="140"/>
    </row>
    <row r="538" spans="14:14" ht="15.75" customHeight="1">
      <c r="N538" s="140"/>
    </row>
    <row r="539" spans="14:14" ht="15.75" customHeight="1">
      <c r="N539" s="140"/>
    </row>
    <row r="540" spans="14:14" ht="15.75" customHeight="1">
      <c r="N540" s="140"/>
    </row>
    <row r="541" spans="14:14" ht="15.75" customHeight="1">
      <c r="N541" s="140"/>
    </row>
    <row r="542" spans="14:14" ht="15.75" customHeight="1">
      <c r="N542" s="140"/>
    </row>
    <row r="543" spans="14:14" ht="15.75" customHeight="1">
      <c r="N543" s="140"/>
    </row>
    <row r="544" spans="14:14" ht="15.75" customHeight="1">
      <c r="N544" s="140"/>
    </row>
    <row r="545" spans="14:14" ht="15.75" customHeight="1">
      <c r="N545" s="140"/>
    </row>
    <row r="546" spans="14:14" ht="15.75" customHeight="1">
      <c r="N546" s="140"/>
    </row>
    <row r="547" spans="14:14" ht="15.75" customHeight="1">
      <c r="N547" s="140"/>
    </row>
    <row r="548" spans="14:14" ht="15.75" customHeight="1">
      <c r="N548" s="140"/>
    </row>
    <row r="549" spans="14:14" ht="15.75" customHeight="1">
      <c r="N549" s="140"/>
    </row>
    <row r="550" spans="14:14" ht="15.75" customHeight="1">
      <c r="N550" s="140"/>
    </row>
    <row r="551" spans="14:14" ht="15.75" customHeight="1">
      <c r="N551" s="140"/>
    </row>
    <row r="552" spans="14:14" ht="15.75" customHeight="1">
      <c r="N552" s="140"/>
    </row>
    <row r="553" spans="14:14" ht="15.75" customHeight="1">
      <c r="N553" s="140"/>
    </row>
    <row r="554" spans="14:14" ht="15.75" customHeight="1">
      <c r="N554" s="140"/>
    </row>
    <row r="555" spans="14:14" ht="15.75" customHeight="1">
      <c r="N555" s="140"/>
    </row>
    <row r="556" spans="14:14" ht="15.75" customHeight="1">
      <c r="N556" s="140"/>
    </row>
    <row r="557" spans="14:14" ht="15.75" customHeight="1">
      <c r="N557" s="140"/>
    </row>
    <row r="558" spans="14:14" ht="15.75" customHeight="1">
      <c r="N558" s="140"/>
    </row>
    <row r="559" spans="14:14" ht="15.75" customHeight="1">
      <c r="N559" s="140"/>
    </row>
    <row r="560" spans="14:14" ht="15.75" customHeight="1">
      <c r="N560" s="140"/>
    </row>
    <row r="561" spans="14:14" ht="15.75" customHeight="1">
      <c r="N561" s="140"/>
    </row>
    <row r="562" spans="14:14" ht="15.75" customHeight="1">
      <c r="N562" s="140"/>
    </row>
    <row r="563" spans="14:14" ht="15.75" customHeight="1">
      <c r="N563" s="140"/>
    </row>
    <row r="564" spans="14:14" ht="15.75" customHeight="1">
      <c r="N564" s="140"/>
    </row>
    <row r="565" spans="14:14" ht="15.75" customHeight="1">
      <c r="N565" s="140"/>
    </row>
    <row r="566" spans="14:14" ht="15.75" customHeight="1">
      <c r="N566" s="140"/>
    </row>
    <row r="567" spans="14:14" ht="15.75" customHeight="1">
      <c r="N567" s="140"/>
    </row>
    <row r="568" spans="14:14" ht="15.75" customHeight="1">
      <c r="N568" s="140"/>
    </row>
    <row r="569" spans="14:14" ht="15.75" customHeight="1">
      <c r="N569" s="140"/>
    </row>
    <row r="570" spans="14:14" ht="15.75" customHeight="1">
      <c r="N570" s="140"/>
    </row>
    <row r="571" spans="14:14" ht="15.75" customHeight="1">
      <c r="N571" s="140"/>
    </row>
    <row r="572" spans="14:14" ht="15.75" customHeight="1">
      <c r="N572" s="140"/>
    </row>
    <row r="573" spans="14:14" ht="15.75" customHeight="1">
      <c r="N573" s="140"/>
    </row>
    <row r="574" spans="14:14" ht="15.75" customHeight="1">
      <c r="N574" s="140"/>
    </row>
    <row r="575" spans="14:14" ht="15.75" customHeight="1">
      <c r="N575" s="140"/>
    </row>
    <row r="576" spans="14:14" ht="15.75" customHeight="1">
      <c r="N576" s="140"/>
    </row>
    <row r="577" spans="14:14" ht="15.75" customHeight="1">
      <c r="N577" s="140"/>
    </row>
    <row r="578" spans="14:14" ht="15.75" customHeight="1">
      <c r="N578" s="140"/>
    </row>
    <row r="579" spans="14:14" ht="15.75" customHeight="1">
      <c r="N579" s="140"/>
    </row>
    <row r="580" spans="14:14" ht="15.75" customHeight="1">
      <c r="N580" s="140"/>
    </row>
    <row r="581" spans="14:14" ht="15.75" customHeight="1">
      <c r="N581" s="140"/>
    </row>
    <row r="582" spans="14:14" ht="15.75" customHeight="1">
      <c r="N582" s="140"/>
    </row>
    <row r="583" spans="14:14" ht="15.75" customHeight="1">
      <c r="N583" s="140"/>
    </row>
    <row r="584" spans="14:14" ht="15.75" customHeight="1">
      <c r="N584" s="140"/>
    </row>
    <row r="585" spans="14:14" ht="15.75" customHeight="1">
      <c r="N585" s="140"/>
    </row>
    <row r="586" spans="14:14" ht="15.75" customHeight="1">
      <c r="N586" s="140"/>
    </row>
    <row r="587" spans="14:14" ht="15.75" customHeight="1">
      <c r="N587" s="140"/>
    </row>
    <row r="588" spans="14:14" ht="15.75" customHeight="1">
      <c r="N588" s="140"/>
    </row>
    <row r="589" spans="14:14" ht="15.75" customHeight="1">
      <c r="N589" s="140"/>
    </row>
    <row r="590" spans="14:14" ht="15.75" customHeight="1">
      <c r="N590" s="140"/>
    </row>
    <row r="591" spans="14:14" ht="15.75" customHeight="1">
      <c r="N591" s="140"/>
    </row>
    <row r="592" spans="14:14" ht="15.75" customHeight="1">
      <c r="N592" s="140"/>
    </row>
    <row r="593" spans="14:14" ht="15.75" customHeight="1">
      <c r="N593" s="140"/>
    </row>
    <row r="594" spans="14:14" ht="15.75" customHeight="1">
      <c r="N594" s="140"/>
    </row>
    <row r="595" spans="14:14" ht="15.75" customHeight="1">
      <c r="N595" s="140"/>
    </row>
    <row r="596" spans="14:14" ht="15.75" customHeight="1">
      <c r="N596" s="140"/>
    </row>
    <row r="597" spans="14:14" ht="15.75" customHeight="1">
      <c r="N597" s="140"/>
    </row>
    <row r="598" spans="14:14" ht="15.75" customHeight="1">
      <c r="N598" s="140"/>
    </row>
    <row r="599" spans="14:14" ht="15.75" customHeight="1">
      <c r="N599" s="140"/>
    </row>
    <row r="600" spans="14:14" ht="15.75" customHeight="1">
      <c r="N600" s="140"/>
    </row>
    <row r="601" spans="14:14" ht="15.75" customHeight="1">
      <c r="N601" s="140"/>
    </row>
    <row r="602" spans="14:14" ht="15.75" customHeight="1">
      <c r="N602" s="140"/>
    </row>
    <row r="603" spans="14:14" ht="15.75" customHeight="1">
      <c r="N603" s="140"/>
    </row>
    <row r="604" spans="14:14" ht="15.75" customHeight="1">
      <c r="N604" s="140"/>
    </row>
    <row r="605" spans="14:14" ht="15.75" customHeight="1">
      <c r="N605" s="140"/>
    </row>
    <row r="606" spans="14:14" ht="15.75" customHeight="1">
      <c r="N606" s="140"/>
    </row>
    <row r="607" spans="14:14" ht="15.75" customHeight="1">
      <c r="N607" s="140"/>
    </row>
    <row r="608" spans="14:14" ht="15.75" customHeight="1">
      <c r="N608" s="140"/>
    </row>
    <row r="609" spans="14:14" ht="15.75" customHeight="1">
      <c r="N609" s="140"/>
    </row>
    <row r="610" spans="14:14" ht="15.75" customHeight="1">
      <c r="N610" s="140"/>
    </row>
    <row r="611" spans="14:14" ht="15.75" customHeight="1">
      <c r="N611" s="140"/>
    </row>
    <row r="612" spans="14:14" ht="15.75" customHeight="1">
      <c r="N612" s="140"/>
    </row>
    <row r="613" spans="14:14" ht="15.75" customHeight="1">
      <c r="N613" s="140"/>
    </row>
    <row r="614" spans="14:14" ht="15.75" customHeight="1">
      <c r="N614" s="140"/>
    </row>
    <row r="615" spans="14:14" ht="15.75" customHeight="1">
      <c r="N615" s="140"/>
    </row>
    <row r="616" spans="14:14" ht="15.75" customHeight="1">
      <c r="N616" s="140"/>
    </row>
    <row r="617" spans="14:14" ht="15.75" customHeight="1">
      <c r="N617" s="140"/>
    </row>
    <row r="618" spans="14:14" ht="15.75" customHeight="1">
      <c r="N618" s="140"/>
    </row>
    <row r="619" spans="14:14" ht="15.75" customHeight="1">
      <c r="N619" s="140"/>
    </row>
    <row r="620" spans="14:14" ht="15.75" customHeight="1">
      <c r="N620" s="140"/>
    </row>
    <row r="621" spans="14:14" ht="15.75" customHeight="1">
      <c r="N621" s="140"/>
    </row>
    <row r="622" spans="14:14" ht="15.75" customHeight="1">
      <c r="N622" s="140"/>
    </row>
    <row r="623" spans="14:14" ht="15.75" customHeight="1">
      <c r="N623" s="140"/>
    </row>
    <row r="624" spans="14:14" ht="15.75" customHeight="1">
      <c r="N624" s="140"/>
    </row>
    <row r="625" spans="14:14" ht="15.75" customHeight="1">
      <c r="N625" s="140"/>
    </row>
    <row r="626" spans="14:14" ht="15.75" customHeight="1">
      <c r="N626" s="140"/>
    </row>
    <row r="627" spans="14:14" ht="15.75" customHeight="1">
      <c r="N627" s="140"/>
    </row>
    <row r="628" spans="14:14" ht="15.75" customHeight="1">
      <c r="N628" s="140"/>
    </row>
    <row r="629" spans="14:14" ht="15.75" customHeight="1">
      <c r="N629" s="140"/>
    </row>
    <row r="630" spans="14:14" ht="15.75" customHeight="1">
      <c r="N630" s="140"/>
    </row>
    <row r="631" spans="14:14" ht="15.75" customHeight="1">
      <c r="N631" s="140"/>
    </row>
    <row r="632" spans="14:14" ht="15.75" customHeight="1">
      <c r="N632" s="140"/>
    </row>
    <row r="633" spans="14:14" ht="15.75" customHeight="1">
      <c r="N633" s="140"/>
    </row>
    <row r="634" spans="14:14" ht="15.75" customHeight="1">
      <c r="N634" s="140"/>
    </row>
    <row r="635" spans="14:14" ht="15.75" customHeight="1">
      <c r="N635" s="140"/>
    </row>
    <row r="636" spans="14:14" ht="15.75" customHeight="1">
      <c r="N636" s="140"/>
    </row>
    <row r="637" spans="14:14" ht="15.75" customHeight="1">
      <c r="N637" s="140"/>
    </row>
    <row r="638" spans="14:14" ht="15.75" customHeight="1">
      <c r="N638" s="140"/>
    </row>
    <row r="639" spans="14:14" ht="15.75" customHeight="1">
      <c r="N639" s="140"/>
    </row>
    <row r="640" spans="14:14" ht="15.75" customHeight="1">
      <c r="N640" s="140"/>
    </row>
    <row r="641" spans="14:14" ht="15.75" customHeight="1">
      <c r="N641" s="140"/>
    </row>
    <row r="642" spans="14:14" ht="15.75" customHeight="1">
      <c r="N642" s="140"/>
    </row>
    <row r="643" spans="14:14" ht="15.75" customHeight="1">
      <c r="N643" s="140"/>
    </row>
    <row r="644" spans="14:14" ht="15.75" customHeight="1">
      <c r="N644" s="140"/>
    </row>
    <row r="645" spans="14:14" ht="15.75" customHeight="1">
      <c r="N645" s="140"/>
    </row>
    <row r="646" spans="14:14" ht="15.75" customHeight="1">
      <c r="N646" s="140"/>
    </row>
    <row r="647" spans="14:14" ht="15.75" customHeight="1">
      <c r="N647" s="140"/>
    </row>
    <row r="648" spans="14:14" ht="15.75" customHeight="1">
      <c r="N648" s="140"/>
    </row>
    <row r="649" spans="14:14" ht="15.75" customHeight="1">
      <c r="N649" s="140"/>
    </row>
    <row r="650" spans="14:14" ht="15.75" customHeight="1">
      <c r="N650" s="140"/>
    </row>
    <row r="651" spans="14:14" ht="15.75" customHeight="1">
      <c r="N651" s="140"/>
    </row>
    <row r="652" spans="14:14" ht="15.75" customHeight="1">
      <c r="N652" s="140"/>
    </row>
    <row r="653" spans="14:14" ht="15.75" customHeight="1">
      <c r="N653" s="140"/>
    </row>
    <row r="654" spans="14:14" ht="15.75" customHeight="1">
      <c r="N654" s="140"/>
    </row>
    <row r="655" spans="14:14" ht="15.75" customHeight="1">
      <c r="N655" s="140"/>
    </row>
    <row r="656" spans="14:14" ht="15.75" customHeight="1">
      <c r="N656" s="140"/>
    </row>
    <row r="657" spans="14:14" ht="15.75" customHeight="1">
      <c r="N657" s="140"/>
    </row>
    <row r="658" spans="14:14" ht="15.75" customHeight="1">
      <c r="N658" s="140"/>
    </row>
    <row r="659" spans="14:14" ht="15.75" customHeight="1">
      <c r="N659" s="140"/>
    </row>
    <row r="660" spans="14:14" ht="15.75" customHeight="1">
      <c r="N660" s="140"/>
    </row>
    <row r="661" spans="14:14" ht="15.75" customHeight="1">
      <c r="N661" s="140"/>
    </row>
    <row r="662" spans="14:14" ht="15.75" customHeight="1">
      <c r="N662" s="140"/>
    </row>
    <row r="663" spans="14:14" ht="15.75" customHeight="1">
      <c r="N663" s="140"/>
    </row>
    <row r="664" spans="14:14" ht="15.75" customHeight="1">
      <c r="N664" s="140"/>
    </row>
    <row r="665" spans="14:14" ht="15.75" customHeight="1">
      <c r="N665" s="140"/>
    </row>
    <row r="666" spans="14:14" ht="15.75" customHeight="1">
      <c r="N666" s="140"/>
    </row>
    <row r="667" spans="14:14" ht="15.75" customHeight="1">
      <c r="N667" s="140"/>
    </row>
    <row r="668" spans="14:14" ht="15.75" customHeight="1">
      <c r="N668" s="140"/>
    </row>
    <row r="669" spans="14:14" ht="15.75" customHeight="1">
      <c r="N669" s="140"/>
    </row>
    <row r="670" spans="14:14" ht="15.75" customHeight="1">
      <c r="N670" s="140"/>
    </row>
    <row r="671" spans="14:14" ht="15.75" customHeight="1">
      <c r="N671" s="140"/>
    </row>
    <row r="672" spans="14:14" ht="15.75" customHeight="1">
      <c r="N672" s="140"/>
    </row>
    <row r="673" spans="14:14" ht="15.75" customHeight="1">
      <c r="N673" s="140"/>
    </row>
    <row r="674" spans="14:14" ht="15.75" customHeight="1">
      <c r="N674" s="140"/>
    </row>
    <row r="675" spans="14:14" ht="15.75" customHeight="1">
      <c r="N675" s="140"/>
    </row>
    <row r="676" spans="14:14" ht="15.75" customHeight="1">
      <c r="N676" s="140"/>
    </row>
    <row r="677" spans="14:14" ht="15.75" customHeight="1">
      <c r="N677" s="140"/>
    </row>
    <row r="678" spans="14:14" ht="15.75" customHeight="1">
      <c r="N678" s="140"/>
    </row>
    <row r="679" spans="14:14" ht="15.75" customHeight="1">
      <c r="N679" s="140"/>
    </row>
    <row r="680" spans="14:14" ht="15.75" customHeight="1">
      <c r="N680" s="140"/>
    </row>
    <row r="681" spans="14:14" ht="15.75" customHeight="1">
      <c r="N681" s="140"/>
    </row>
    <row r="682" spans="14:14" ht="15.75" customHeight="1">
      <c r="N682" s="140"/>
    </row>
    <row r="683" spans="14:14" ht="15.75" customHeight="1">
      <c r="N683" s="140"/>
    </row>
    <row r="684" spans="14:14" ht="15.75" customHeight="1">
      <c r="N684" s="140"/>
    </row>
    <row r="685" spans="14:14" ht="15.75" customHeight="1">
      <c r="N685" s="140"/>
    </row>
    <row r="686" spans="14:14" ht="15.75" customHeight="1">
      <c r="N686" s="140"/>
    </row>
    <row r="687" spans="14:14" ht="15.75" customHeight="1">
      <c r="N687" s="140"/>
    </row>
    <row r="688" spans="14:14" ht="15.75" customHeight="1">
      <c r="N688" s="140"/>
    </row>
    <row r="689" spans="14:14" ht="15.75" customHeight="1">
      <c r="N689" s="140"/>
    </row>
    <row r="690" spans="14:14" ht="15.75" customHeight="1">
      <c r="N690" s="140"/>
    </row>
    <row r="691" spans="14:14" ht="15.75" customHeight="1">
      <c r="N691" s="140"/>
    </row>
    <row r="692" spans="14:14" ht="15.75" customHeight="1">
      <c r="N692" s="140"/>
    </row>
    <row r="693" spans="14:14" ht="15.75" customHeight="1">
      <c r="N693" s="140"/>
    </row>
    <row r="694" spans="14:14" ht="15.75" customHeight="1">
      <c r="N694" s="140"/>
    </row>
    <row r="695" spans="14:14" ht="15.75" customHeight="1">
      <c r="N695" s="140"/>
    </row>
    <row r="696" spans="14:14" ht="15.75" customHeight="1">
      <c r="N696" s="140"/>
    </row>
    <row r="697" spans="14:14" ht="15.75" customHeight="1">
      <c r="N697" s="140"/>
    </row>
    <row r="698" spans="14:14" ht="15.75" customHeight="1">
      <c r="N698" s="140"/>
    </row>
    <row r="699" spans="14:14" ht="15.75" customHeight="1">
      <c r="N699" s="140"/>
    </row>
    <row r="700" spans="14:14" ht="15.75" customHeight="1">
      <c r="N700" s="140"/>
    </row>
    <row r="701" spans="14:14" ht="15.75" customHeight="1">
      <c r="N701" s="140"/>
    </row>
    <row r="702" spans="14:14" ht="15.75" customHeight="1">
      <c r="N702" s="140"/>
    </row>
    <row r="703" spans="14:14" ht="15.75" customHeight="1">
      <c r="N703" s="140"/>
    </row>
    <row r="704" spans="14:14" ht="15.75" customHeight="1">
      <c r="N704" s="140"/>
    </row>
    <row r="705" spans="14:14" ht="15.75" customHeight="1">
      <c r="N705" s="140"/>
    </row>
    <row r="706" spans="14:14" ht="15.75" customHeight="1">
      <c r="N706" s="140"/>
    </row>
    <row r="707" spans="14:14" ht="15.75" customHeight="1">
      <c r="N707" s="140"/>
    </row>
    <row r="708" spans="14:14" ht="15.75" customHeight="1">
      <c r="N708" s="140"/>
    </row>
    <row r="709" spans="14:14" ht="15.75" customHeight="1">
      <c r="N709" s="140"/>
    </row>
    <row r="710" spans="14:14" ht="15.75" customHeight="1">
      <c r="N710" s="140"/>
    </row>
    <row r="711" spans="14:14" ht="15.75" customHeight="1">
      <c r="N711" s="140"/>
    </row>
    <row r="712" spans="14:14" ht="15.75" customHeight="1">
      <c r="N712" s="140"/>
    </row>
    <row r="713" spans="14:14" ht="15.75" customHeight="1">
      <c r="N713" s="140"/>
    </row>
    <row r="714" spans="14:14" ht="15.75" customHeight="1">
      <c r="N714" s="140"/>
    </row>
    <row r="715" spans="14:14" ht="15.75" customHeight="1">
      <c r="N715" s="140"/>
    </row>
    <row r="716" spans="14:14" ht="15.75" customHeight="1">
      <c r="N716" s="140"/>
    </row>
    <row r="717" spans="14:14" ht="15.75" customHeight="1">
      <c r="N717" s="140"/>
    </row>
    <row r="718" spans="14:14" ht="15.75" customHeight="1">
      <c r="N718" s="140"/>
    </row>
    <row r="719" spans="14:14" ht="15.75" customHeight="1">
      <c r="N719" s="140"/>
    </row>
    <row r="720" spans="14:14" ht="15.75" customHeight="1">
      <c r="N720" s="140"/>
    </row>
    <row r="721" spans="14:14" ht="15.75" customHeight="1">
      <c r="N721" s="140"/>
    </row>
    <row r="722" spans="14:14" ht="15.75" customHeight="1">
      <c r="N722" s="140"/>
    </row>
    <row r="723" spans="14:14" ht="15.75" customHeight="1">
      <c r="N723" s="140"/>
    </row>
    <row r="724" spans="14:14" ht="15.75" customHeight="1">
      <c r="N724" s="140"/>
    </row>
    <row r="725" spans="14:14" ht="15.75" customHeight="1">
      <c r="N725" s="140"/>
    </row>
    <row r="726" spans="14:14" ht="15.75" customHeight="1">
      <c r="N726" s="140"/>
    </row>
    <row r="727" spans="14:14" ht="15.75" customHeight="1">
      <c r="N727" s="140"/>
    </row>
    <row r="728" spans="14:14" ht="15.75" customHeight="1">
      <c r="N728" s="140"/>
    </row>
    <row r="729" spans="14:14" ht="15.75" customHeight="1">
      <c r="N729" s="140"/>
    </row>
    <row r="730" spans="14:14" ht="15.75" customHeight="1">
      <c r="N730" s="140"/>
    </row>
    <row r="731" spans="14:14" ht="15.75" customHeight="1">
      <c r="N731" s="140"/>
    </row>
    <row r="732" spans="14:14" ht="15.75" customHeight="1">
      <c r="N732" s="140"/>
    </row>
    <row r="733" spans="14:14" ht="15.75" customHeight="1">
      <c r="N733" s="140"/>
    </row>
    <row r="734" spans="14:14" ht="15.75" customHeight="1">
      <c r="N734" s="140"/>
    </row>
    <row r="735" spans="14:14" ht="15.75" customHeight="1">
      <c r="N735" s="140"/>
    </row>
    <row r="736" spans="14:14" ht="15.75" customHeight="1">
      <c r="N736" s="140"/>
    </row>
    <row r="737" spans="14:14" ht="15.75" customHeight="1">
      <c r="N737" s="140"/>
    </row>
    <row r="738" spans="14:14" ht="15.75" customHeight="1">
      <c r="N738" s="140"/>
    </row>
    <row r="739" spans="14:14" ht="15.75" customHeight="1">
      <c r="N739" s="140"/>
    </row>
    <row r="740" spans="14:14" ht="15.75" customHeight="1">
      <c r="N740" s="140"/>
    </row>
    <row r="741" spans="14:14" ht="15.75" customHeight="1">
      <c r="N741" s="140"/>
    </row>
    <row r="742" spans="14:14" ht="15.75" customHeight="1">
      <c r="N742" s="140"/>
    </row>
    <row r="743" spans="14:14" ht="15.75" customHeight="1">
      <c r="N743" s="140"/>
    </row>
    <row r="744" spans="14:14" ht="15.75" customHeight="1">
      <c r="N744" s="140"/>
    </row>
    <row r="745" spans="14:14" ht="15.75" customHeight="1">
      <c r="N745" s="140"/>
    </row>
    <row r="746" spans="14:14" ht="15.75" customHeight="1">
      <c r="N746" s="140"/>
    </row>
    <row r="747" spans="14:14" ht="15.75" customHeight="1">
      <c r="N747" s="140"/>
    </row>
    <row r="748" spans="14:14" ht="15.75" customHeight="1">
      <c r="N748" s="140"/>
    </row>
    <row r="749" spans="14:14" ht="15.75" customHeight="1">
      <c r="N749" s="140"/>
    </row>
    <row r="750" spans="14:14" ht="15.75" customHeight="1">
      <c r="N750" s="140"/>
    </row>
    <row r="751" spans="14:14" ht="15.75" customHeight="1">
      <c r="N751" s="140"/>
    </row>
    <row r="752" spans="14:14" ht="15.75" customHeight="1">
      <c r="N752" s="140"/>
    </row>
    <row r="753" spans="14:14" ht="15.75" customHeight="1">
      <c r="N753" s="140"/>
    </row>
    <row r="754" spans="14:14" ht="15.75" customHeight="1">
      <c r="N754" s="140"/>
    </row>
    <row r="755" spans="14:14" ht="15.75" customHeight="1">
      <c r="N755" s="140"/>
    </row>
    <row r="756" spans="14:14" ht="15.75" customHeight="1">
      <c r="N756" s="140"/>
    </row>
    <row r="757" spans="14:14" ht="15.75" customHeight="1">
      <c r="N757" s="140"/>
    </row>
    <row r="758" spans="14:14" ht="15.75" customHeight="1">
      <c r="N758" s="140"/>
    </row>
    <row r="759" spans="14:14" ht="15.75" customHeight="1">
      <c r="N759" s="140"/>
    </row>
    <row r="760" spans="14:14" ht="15.75" customHeight="1">
      <c r="N760" s="140"/>
    </row>
    <row r="761" spans="14:14" ht="15.75" customHeight="1">
      <c r="N761" s="140"/>
    </row>
    <row r="762" spans="14:14" ht="15.75" customHeight="1">
      <c r="N762" s="140"/>
    </row>
    <row r="763" spans="14:14" ht="15.75" customHeight="1">
      <c r="N763" s="140"/>
    </row>
    <row r="764" spans="14:14" ht="15.75" customHeight="1">
      <c r="N764" s="140"/>
    </row>
    <row r="765" spans="14:14" ht="15.75" customHeight="1">
      <c r="N765" s="140"/>
    </row>
    <row r="766" spans="14:14" ht="15.75" customHeight="1">
      <c r="N766" s="140"/>
    </row>
    <row r="767" spans="14:14" ht="15.75" customHeight="1">
      <c r="N767" s="140"/>
    </row>
    <row r="768" spans="14:14" ht="15.75" customHeight="1">
      <c r="N768" s="140"/>
    </row>
    <row r="769" spans="14:14" ht="15.75" customHeight="1">
      <c r="N769" s="140"/>
    </row>
    <row r="770" spans="14:14" ht="15.75" customHeight="1">
      <c r="N770" s="140"/>
    </row>
    <row r="771" spans="14:14" ht="15.75" customHeight="1">
      <c r="N771" s="140"/>
    </row>
    <row r="772" spans="14:14" ht="15.75" customHeight="1">
      <c r="N772" s="140"/>
    </row>
    <row r="773" spans="14:14" ht="15.75" customHeight="1">
      <c r="N773" s="140"/>
    </row>
    <row r="774" spans="14:14" ht="15.75" customHeight="1">
      <c r="N774" s="140"/>
    </row>
    <row r="775" spans="14:14" ht="15.75" customHeight="1">
      <c r="N775" s="140"/>
    </row>
    <row r="776" spans="14:14" ht="15.75" customHeight="1">
      <c r="N776" s="140"/>
    </row>
    <row r="777" spans="14:14" ht="15.75" customHeight="1">
      <c r="N777" s="140"/>
    </row>
    <row r="778" spans="14:14" ht="15.75" customHeight="1">
      <c r="N778" s="140"/>
    </row>
    <row r="779" spans="14:14" ht="15.75" customHeight="1">
      <c r="N779" s="140"/>
    </row>
    <row r="780" spans="14:14" ht="15.75" customHeight="1">
      <c r="N780" s="140"/>
    </row>
    <row r="781" spans="14:14" ht="15.75" customHeight="1">
      <c r="N781" s="140"/>
    </row>
    <row r="782" spans="14:14" ht="15.75" customHeight="1">
      <c r="N782" s="140"/>
    </row>
    <row r="783" spans="14:14" ht="15.75" customHeight="1">
      <c r="N783" s="140"/>
    </row>
    <row r="784" spans="14:14" ht="15.75" customHeight="1">
      <c r="N784" s="140"/>
    </row>
    <row r="785" spans="14:14" ht="15.75" customHeight="1">
      <c r="N785" s="140"/>
    </row>
    <row r="786" spans="14:14" ht="15.75" customHeight="1">
      <c r="N786" s="140"/>
    </row>
    <row r="787" spans="14:14" ht="15.75" customHeight="1">
      <c r="N787" s="140"/>
    </row>
    <row r="788" spans="14:14" ht="15.75" customHeight="1">
      <c r="N788" s="140"/>
    </row>
    <row r="789" spans="14:14" ht="15.75" customHeight="1">
      <c r="N789" s="140"/>
    </row>
    <row r="790" spans="14:14" ht="15.75" customHeight="1">
      <c r="N790" s="140"/>
    </row>
    <row r="791" spans="14:14" ht="15.75" customHeight="1">
      <c r="N791" s="140"/>
    </row>
    <row r="792" spans="14:14" ht="15.75" customHeight="1">
      <c r="N792" s="140"/>
    </row>
    <row r="793" spans="14:14" ht="15.75" customHeight="1">
      <c r="N793" s="140"/>
    </row>
    <row r="794" spans="14:14" ht="15.75" customHeight="1">
      <c r="N794" s="140"/>
    </row>
    <row r="795" spans="14:14" ht="15.75" customHeight="1">
      <c r="N795" s="140"/>
    </row>
    <row r="796" spans="14:14" ht="15.75" customHeight="1">
      <c r="N796" s="140"/>
    </row>
    <row r="797" spans="14:14" ht="15.75" customHeight="1">
      <c r="N797" s="140"/>
    </row>
    <row r="798" spans="14:14" ht="15.75" customHeight="1">
      <c r="N798" s="140"/>
    </row>
    <row r="799" spans="14:14" ht="15.75" customHeight="1">
      <c r="N799" s="140"/>
    </row>
    <row r="800" spans="14:14" ht="15.75" customHeight="1">
      <c r="N800" s="140"/>
    </row>
    <row r="801" spans="14:14" ht="15.75" customHeight="1">
      <c r="N801" s="140"/>
    </row>
    <row r="802" spans="14:14" ht="15.75" customHeight="1">
      <c r="N802" s="140"/>
    </row>
    <row r="803" spans="14:14" ht="15.75" customHeight="1">
      <c r="N803" s="140"/>
    </row>
    <row r="804" spans="14:14" ht="15.75" customHeight="1">
      <c r="N804" s="140"/>
    </row>
    <row r="805" spans="14:14" ht="15.75" customHeight="1">
      <c r="N805" s="140"/>
    </row>
    <row r="806" spans="14:14" ht="15.75" customHeight="1">
      <c r="N806" s="140"/>
    </row>
    <row r="807" spans="14:14" ht="15.75" customHeight="1">
      <c r="N807" s="140"/>
    </row>
    <row r="808" spans="14:14" ht="15.75" customHeight="1">
      <c r="N808" s="140"/>
    </row>
    <row r="809" spans="14:14" ht="15.75" customHeight="1">
      <c r="N809" s="140"/>
    </row>
    <row r="810" spans="14:14" ht="15.75" customHeight="1">
      <c r="N810" s="140"/>
    </row>
    <row r="811" spans="14:14" ht="15.75" customHeight="1">
      <c r="N811" s="140"/>
    </row>
    <row r="812" spans="14:14" ht="15.75" customHeight="1">
      <c r="N812" s="140"/>
    </row>
    <row r="813" spans="14:14" ht="15.75" customHeight="1">
      <c r="N813" s="140"/>
    </row>
    <row r="814" spans="14:14" ht="15.75" customHeight="1">
      <c r="N814" s="140"/>
    </row>
    <row r="815" spans="14:14" ht="15.75" customHeight="1">
      <c r="N815" s="140"/>
    </row>
    <row r="816" spans="14:14" ht="15.75" customHeight="1">
      <c r="N816" s="140"/>
    </row>
    <row r="817" spans="14:14" ht="15.75" customHeight="1">
      <c r="N817" s="140"/>
    </row>
    <row r="818" spans="14:14" ht="15.75" customHeight="1">
      <c r="N818" s="140"/>
    </row>
    <row r="819" spans="14:14" ht="15.75" customHeight="1">
      <c r="N819" s="140"/>
    </row>
    <row r="820" spans="14:14" ht="15.75" customHeight="1">
      <c r="N820" s="140"/>
    </row>
    <row r="821" spans="14:14" ht="15.75" customHeight="1">
      <c r="N821" s="140"/>
    </row>
    <row r="822" spans="14:14" ht="15.75" customHeight="1">
      <c r="N822" s="140"/>
    </row>
    <row r="823" spans="14:14" ht="15.75" customHeight="1">
      <c r="N823" s="140"/>
    </row>
    <row r="824" spans="14:14" ht="15.75" customHeight="1">
      <c r="N824" s="140"/>
    </row>
    <row r="825" spans="14:14" ht="15.75" customHeight="1">
      <c r="N825" s="140"/>
    </row>
    <row r="826" spans="14:14" ht="15.75" customHeight="1">
      <c r="N826" s="140"/>
    </row>
    <row r="827" spans="14:14" ht="15.75" customHeight="1">
      <c r="N827" s="140"/>
    </row>
    <row r="828" spans="14:14" ht="15.75" customHeight="1">
      <c r="N828" s="140"/>
    </row>
    <row r="829" spans="14:14" ht="15.75" customHeight="1">
      <c r="N829" s="140"/>
    </row>
    <row r="830" spans="14:14" ht="15.75" customHeight="1">
      <c r="N830" s="140"/>
    </row>
    <row r="831" spans="14:14" ht="15.75" customHeight="1">
      <c r="N831" s="140"/>
    </row>
    <row r="832" spans="14:14" ht="15.75" customHeight="1">
      <c r="N832" s="140"/>
    </row>
    <row r="833" spans="14:14" ht="15.75" customHeight="1">
      <c r="N833" s="140"/>
    </row>
    <row r="834" spans="14:14" ht="15.75" customHeight="1">
      <c r="N834" s="140"/>
    </row>
    <row r="835" spans="14:14" ht="15.75" customHeight="1">
      <c r="N835" s="140"/>
    </row>
    <row r="836" spans="14:14" ht="15.75" customHeight="1">
      <c r="N836" s="140"/>
    </row>
    <row r="837" spans="14:14" ht="15.75" customHeight="1">
      <c r="N837" s="140"/>
    </row>
    <row r="838" spans="14:14" ht="15.75" customHeight="1">
      <c r="N838" s="140"/>
    </row>
    <row r="839" spans="14:14" ht="15.75" customHeight="1">
      <c r="N839" s="140"/>
    </row>
    <row r="840" spans="14:14" ht="15.75" customHeight="1">
      <c r="N840" s="140"/>
    </row>
    <row r="841" spans="14:14" ht="15.75" customHeight="1">
      <c r="N841" s="140"/>
    </row>
    <row r="842" spans="14:14" ht="15.75" customHeight="1">
      <c r="N842" s="140"/>
    </row>
    <row r="843" spans="14:14" ht="15.75" customHeight="1">
      <c r="N843" s="140"/>
    </row>
    <row r="844" spans="14:14" ht="15.75" customHeight="1">
      <c r="N844" s="140"/>
    </row>
    <row r="845" spans="14:14" ht="15.75" customHeight="1">
      <c r="N845" s="140"/>
    </row>
    <row r="846" spans="14:14" ht="15.75" customHeight="1">
      <c r="N846" s="140"/>
    </row>
    <row r="847" spans="14:14" ht="15.75" customHeight="1">
      <c r="N847" s="140"/>
    </row>
    <row r="848" spans="14:14" ht="15.75" customHeight="1">
      <c r="N848" s="140"/>
    </row>
    <row r="849" spans="14:14" ht="15.75" customHeight="1">
      <c r="N849" s="140"/>
    </row>
    <row r="850" spans="14:14" ht="15.75" customHeight="1">
      <c r="N850" s="140"/>
    </row>
    <row r="851" spans="14:14" ht="15.75" customHeight="1">
      <c r="N851" s="140"/>
    </row>
    <row r="852" spans="14:14" ht="15.75" customHeight="1">
      <c r="N852" s="140"/>
    </row>
    <row r="853" spans="14:14" ht="15.75" customHeight="1">
      <c r="N853" s="140"/>
    </row>
    <row r="854" spans="14:14" ht="15.75" customHeight="1">
      <c r="N854" s="140"/>
    </row>
    <row r="855" spans="14:14" ht="15.75" customHeight="1">
      <c r="N855" s="140"/>
    </row>
    <row r="856" spans="14:14" ht="15.75" customHeight="1">
      <c r="N856" s="140"/>
    </row>
    <row r="857" spans="14:14" ht="15.75" customHeight="1">
      <c r="N857" s="140"/>
    </row>
    <row r="858" spans="14:14" ht="15.75" customHeight="1">
      <c r="N858" s="140"/>
    </row>
    <row r="859" spans="14:14" ht="15.75" customHeight="1">
      <c r="N859" s="140"/>
    </row>
    <row r="860" spans="14:14" ht="15.75" customHeight="1">
      <c r="N860" s="140"/>
    </row>
    <row r="861" spans="14:14" ht="15.75" customHeight="1">
      <c r="N861" s="140"/>
    </row>
    <row r="862" spans="14:14" ht="15.75" customHeight="1">
      <c r="N862" s="140"/>
    </row>
    <row r="863" spans="14:14" ht="15.75" customHeight="1">
      <c r="N863" s="140"/>
    </row>
    <row r="864" spans="14:14" ht="15.75" customHeight="1">
      <c r="N864" s="140"/>
    </row>
    <row r="865" spans="14:14" ht="15.75" customHeight="1">
      <c r="N865" s="140"/>
    </row>
    <row r="866" spans="14:14" ht="15.75" customHeight="1">
      <c r="N866" s="140"/>
    </row>
    <row r="867" spans="14:14" ht="15.75" customHeight="1">
      <c r="N867" s="140"/>
    </row>
    <row r="868" spans="14:14" ht="15.75" customHeight="1">
      <c r="N868" s="140"/>
    </row>
    <row r="869" spans="14:14" ht="15.75" customHeight="1">
      <c r="N869" s="140"/>
    </row>
    <row r="870" spans="14:14" ht="15.75" customHeight="1">
      <c r="N870" s="140"/>
    </row>
    <row r="871" spans="14:14" ht="15.75" customHeight="1">
      <c r="N871" s="140"/>
    </row>
    <row r="872" spans="14:14" ht="15.75" customHeight="1">
      <c r="N872" s="140"/>
    </row>
    <row r="873" spans="14:14" ht="15.75" customHeight="1">
      <c r="N873" s="140"/>
    </row>
    <row r="874" spans="14:14" ht="15.75" customHeight="1">
      <c r="N874" s="140"/>
    </row>
    <row r="875" spans="14:14" ht="15.75" customHeight="1">
      <c r="N875" s="140"/>
    </row>
    <row r="876" spans="14:14" ht="15.75" customHeight="1">
      <c r="N876" s="140"/>
    </row>
    <row r="877" spans="14:14" ht="15.75" customHeight="1">
      <c r="N877" s="140"/>
    </row>
    <row r="878" spans="14:14" ht="15.75" customHeight="1">
      <c r="N878" s="140"/>
    </row>
    <row r="879" spans="14:14" ht="15.75" customHeight="1">
      <c r="N879" s="140"/>
    </row>
    <row r="880" spans="14:14" ht="15.75" customHeight="1">
      <c r="N880" s="140"/>
    </row>
    <row r="881" spans="14:14" ht="15.75" customHeight="1">
      <c r="N881" s="140"/>
    </row>
    <row r="882" spans="14:14" ht="15.75" customHeight="1">
      <c r="N882" s="140"/>
    </row>
    <row r="883" spans="14:14" ht="15.75" customHeight="1">
      <c r="N883" s="140"/>
    </row>
    <row r="884" spans="14:14" ht="15.75" customHeight="1">
      <c r="N884" s="140"/>
    </row>
    <row r="885" spans="14:14" ht="15.75" customHeight="1">
      <c r="N885" s="140"/>
    </row>
    <row r="886" spans="14:14" ht="15.75" customHeight="1">
      <c r="N886" s="140"/>
    </row>
    <row r="887" spans="14:14" ht="15.75" customHeight="1">
      <c r="N887" s="140"/>
    </row>
    <row r="888" spans="14:14" ht="15.75" customHeight="1">
      <c r="N888" s="140"/>
    </row>
    <row r="889" spans="14:14" ht="15.75" customHeight="1">
      <c r="N889" s="140"/>
    </row>
    <row r="890" spans="14:14" ht="15.75" customHeight="1">
      <c r="N890" s="140"/>
    </row>
    <row r="891" spans="14:14" ht="15.75" customHeight="1">
      <c r="N891" s="140"/>
    </row>
    <row r="892" spans="14:14" ht="15.75" customHeight="1">
      <c r="N892" s="140"/>
    </row>
    <row r="893" spans="14:14" ht="15.75" customHeight="1">
      <c r="N893" s="140"/>
    </row>
    <row r="894" spans="14:14" ht="15.75" customHeight="1">
      <c r="N894" s="140"/>
    </row>
    <row r="895" spans="14:14" ht="15.75" customHeight="1">
      <c r="N895" s="140"/>
    </row>
    <row r="896" spans="14:14" ht="15.75" customHeight="1">
      <c r="N896" s="140"/>
    </row>
    <row r="897" spans="14:14" ht="15.75" customHeight="1">
      <c r="N897" s="140"/>
    </row>
    <row r="898" spans="14:14" ht="15.75" customHeight="1">
      <c r="N898" s="140"/>
    </row>
    <row r="899" spans="14:14" ht="15.75" customHeight="1">
      <c r="N899" s="140"/>
    </row>
    <row r="900" spans="14:14" ht="15.75" customHeight="1">
      <c r="N900" s="140"/>
    </row>
    <row r="901" spans="14:14" ht="15.75" customHeight="1">
      <c r="N901" s="140"/>
    </row>
    <row r="902" spans="14:14" ht="15.75" customHeight="1">
      <c r="N902" s="140"/>
    </row>
    <row r="903" spans="14:14" ht="15.75" customHeight="1">
      <c r="N903" s="140"/>
    </row>
    <row r="904" spans="14:14" ht="15.75" customHeight="1">
      <c r="N904" s="140"/>
    </row>
    <row r="905" spans="14:14" ht="15.75" customHeight="1">
      <c r="N905" s="140"/>
    </row>
    <row r="906" spans="14:14" ht="15.75" customHeight="1">
      <c r="N906" s="140"/>
    </row>
    <row r="907" spans="14:14" ht="15.75" customHeight="1">
      <c r="N907" s="140"/>
    </row>
    <row r="908" spans="14:14" ht="15.75" customHeight="1">
      <c r="N908" s="140"/>
    </row>
    <row r="909" spans="14:14" ht="15.75" customHeight="1">
      <c r="N909" s="140"/>
    </row>
    <row r="910" spans="14:14" ht="15.75" customHeight="1">
      <c r="N910" s="140"/>
    </row>
    <row r="911" spans="14:14" ht="15.75" customHeight="1">
      <c r="N911" s="140"/>
    </row>
    <row r="912" spans="14:14" ht="15.75" customHeight="1">
      <c r="N912" s="140"/>
    </row>
    <row r="913" spans="14:14" ht="15.75" customHeight="1">
      <c r="N913" s="140"/>
    </row>
    <row r="914" spans="14:14" ht="15.75" customHeight="1">
      <c r="N914" s="140"/>
    </row>
    <row r="915" spans="14:14" ht="15.75" customHeight="1">
      <c r="N915" s="140"/>
    </row>
    <row r="916" spans="14:14" ht="15.75" customHeight="1">
      <c r="N916" s="140"/>
    </row>
    <row r="917" spans="14:14" ht="15.75" customHeight="1">
      <c r="N917" s="140"/>
    </row>
    <row r="918" spans="14:14" ht="15.75" customHeight="1">
      <c r="N918" s="140"/>
    </row>
    <row r="919" spans="14:14" ht="15.75" customHeight="1">
      <c r="N919" s="140"/>
    </row>
    <row r="920" spans="14:14" ht="15.75" customHeight="1">
      <c r="N920" s="140"/>
    </row>
    <row r="921" spans="14:14" ht="15.75" customHeight="1">
      <c r="N921" s="140"/>
    </row>
    <row r="922" spans="14:14" ht="15.75" customHeight="1">
      <c r="N922" s="140"/>
    </row>
    <row r="923" spans="14:14" ht="15.75" customHeight="1">
      <c r="N923" s="140"/>
    </row>
    <row r="924" spans="14:14" ht="15.75" customHeight="1">
      <c r="N924" s="140"/>
    </row>
    <row r="925" spans="14:14" ht="15.75" customHeight="1">
      <c r="N925" s="140"/>
    </row>
    <row r="926" spans="14:14" ht="15.75" customHeight="1">
      <c r="N926" s="140"/>
    </row>
    <row r="927" spans="14:14" ht="15.75" customHeight="1">
      <c r="N927" s="140"/>
    </row>
    <row r="928" spans="14:14" ht="15.75" customHeight="1">
      <c r="N928" s="140"/>
    </row>
    <row r="929" spans="14:14" ht="15.75" customHeight="1">
      <c r="N929" s="140"/>
    </row>
    <row r="930" spans="14:14" ht="15.75" customHeight="1">
      <c r="N930" s="140"/>
    </row>
    <row r="931" spans="14:14" ht="15.75" customHeight="1">
      <c r="N931" s="140"/>
    </row>
    <row r="932" spans="14:14" ht="15.75" customHeight="1">
      <c r="N932" s="140"/>
    </row>
    <row r="933" spans="14:14" ht="15.75" customHeight="1">
      <c r="N933" s="140"/>
    </row>
    <row r="934" spans="14:14" ht="15.75" customHeight="1">
      <c r="N934" s="140"/>
    </row>
    <row r="935" spans="14:14" ht="15.75" customHeight="1">
      <c r="N935" s="140"/>
    </row>
    <row r="936" spans="14:14" ht="15.75" customHeight="1">
      <c r="N936" s="140"/>
    </row>
    <row r="937" spans="14:14" ht="15.75" customHeight="1">
      <c r="N937" s="140"/>
    </row>
    <row r="938" spans="14:14" ht="15.75" customHeight="1">
      <c r="N938" s="140"/>
    </row>
    <row r="939" spans="14:14" ht="15.75" customHeight="1">
      <c r="N939" s="140"/>
    </row>
    <row r="940" spans="14:14" ht="15.75" customHeight="1">
      <c r="N940" s="140"/>
    </row>
    <row r="941" spans="14:14" ht="15.75" customHeight="1">
      <c r="N941" s="140"/>
    </row>
    <row r="942" spans="14:14" ht="15.75" customHeight="1">
      <c r="N942" s="140"/>
    </row>
    <row r="943" spans="14:14" ht="15.75" customHeight="1">
      <c r="N943" s="140"/>
    </row>
    <row r="944" spans="14:14" ht="15.75" customHeight="1">
      <c r="N944" s="140"/>
    </row>
    <row r="945" spans="14:14" ht="15.75" customHeight="1">
      <c r="N945" s="140"/>
    </row>
    <row r="946" spans="14:14" ht="15.75" customHeight="1">
      <c r="N946" s="140"/>
    </row>
    <row r="947" spans="14:14" ht="15.75" customHeight="1">
      <c r="N947" s="140"/>
    </row>
    <row r="948" spans="14:14" ht="15.75" customHeight="1">
      <c r="N948" s="140"/>
    </row>
    <row r="949" spans="14:14" ht="15.75" customHeight="1">
      <c r="N949" s="140"/>
    </row>
    <row r="950" spans="14:14" ht="15.75" customHeight="1">
      <c r="N950" s="140"/>
    </row>
    <row r="951" spans="14:14" ht="15.75" customHeight="1">
      <c r="N951" s="140"/>
    </row>
    <row r="952" spans="14:14" ht="15.75" customHeight="1">
      <c r="N952" s="140"/>
    </row>
    <row r="953" spans="14:14" ht="15.75" customHeight="1">
      <c r="N953" s="140"/>
    </row>
    <row r="954" spans="14:14" ht="15.75" customHeight="1">
      <c r="N954" s="140"/>
    </row>
    <row r="955" spans="14:14" ht="15.75" customHeight="1">
      <c r="N955" s="140"/>
    </row>
    <row r="956" spans="14:14" ht="15.75" customHeight="1">
      <c r="N956" s="140"/>
    </row>
    <row r="957" spans="14:14" ht="15.75" customHeight="1">
      <c r="N957" s="140"/>
    </row>
    <row r="958" spans="14:14" ht="15.75" customHeight="1">
      <c r="N958" s="140"/>
    </row>
    <row r="959" spans="14:14" ht="15.75" customHeight="1">
      <c r="N959" s="140"/>
    </row>
    <row r="960" spans="14:14" ht="15.75" customHeight="1">
      <c r="N960" s="140"/>
    </row>
    <row r="961" spans="14:14" ht="15.75" customHeight="1">
      <c r="N961" s="140"/>
    </row>
    <row r="962" spans="14:14" ht="15.75" customHeight="1">
      <c r="N962" s="140"/>
    </row>
    <row r="963" spans="14:14" ht="15.75" customHeight="1">
      <c r="N963" s="140"/>
    </row>
    <row r="964" spans="14:14" ht="15.75" customHeight="1">
      <c r="N964" s="140"/>
    </row>
    <row r="965" spans="14:14" ht="15.75" customHeight="1">
      <c r="N965" s="140"/>
    </row>
    <row r="966" spans="14:14" ht="15.75" customHeight="1">
      <c r="N966" s="140"/>
    </row>
    <row r="967" spans="14:14" ht="15.75" customHeight="1">
      <c r="N967" s="140"/>
    </row>
    <row r="968" spans="14:14" ht="15.75" customHeight="1">
      <c r="N968" s="140"/>
    </row>
    <row r="969" spans="14:14" ht="15.75" customHeight="1">
      <c r="N969" s="140"/>
    </row>
    <row r="970" spans="14:14" ht="15.75" customHeight="1">
      <c r="N970" s="140"/>
    </row>
    <row r="971" spans="14:14" ht="15.75" customHeight="1">
      <c r="N971" s="140"/>
    </row>
    <row r="972" spans="14:14" ht="15.75" customHeight="1">
      <c r="N972" s="140"/>
    </row>
    <row r="973" spans="14:14" ht="15.75" customHeight="1">
      <c r="N973" s="140"/>
    </row>
    <row r="974" spans="14:14" ht="15.75" customHeight="1">
      <c r="N974" s="140"/>
    </row>
    <row r="975" spans="14:14" ht="15.75" customHeight="1">
      <c r="N975" s="140"/>
    </row>
    <row r="976" spans="14:14" ht="15.75" customHeight="1">
      <c r="N976" s="140"/>
    </row>
    <row r="977" spans="14:14" ht="15.75" customHeight="1">
      <c r="N977" s="140"/>
    </row>
    <row r="978" spans="14:14" ht="15.75" customHeight="1">
      <c r="N978" s="140"/>
    </row>
    <row r="979" spans="14:14" ht="15.75" customHeight="1">
      <c r="N979" s="140"/>
    </row>
    <row r="980" spans="14:14" ht="15.75" customHeight="1">
      <c r="N980" s="140"/>
    </row>
    <row r="981" spans="14:14" ht="15.75" customHeight="1">
      <c r="N981" s="140"/>
    </row>
    <row r="982" spans="14:14" ht="15.75" customHeight="1">
      <c r="N982" s="140"/>
    </row>
    <row r="983" spans="14:14" ht="15.75" customHeight="1">
      <c r="N983" s="140"/>
    </row>
    <row r="984" spans="14:14" ht="15.75" customHeight="1">
      <c r="N984" s="140"/>
    </row>
    <row r="985" spans="14:14" ht="15.75" customHeight="1">
      <c r="N985" s="140"/>
    </row>
    <row r="986" spans="14:14" ht="15.75" customHeight="1">
      <c r="N986" s="140"/>
    </row>
    <row r="987" spans="14:14" ht="15.75" customHeight="1">
      <c r="N987" s="140"/>
    </row>
    <row r="988" spans="14:14" ht="15.75" customHeight="1">
      <c r="N988" s="140"/>
    </row>
    <row r="989" spans="14:14" ht="15.75" customHeight="1">
      <c r="N989" s="140"/>
    </row>
    <row r="990" spans="14:14" ht="15.75" customHeight="1">
      <c r="N990" s="140"/>
    </row>
    <row r="991" spans="14:14" ht="15.75" customHeight="1">
      <c r="N991" s="140"/>
    </row>
    <row r="992" spans="14:14" ht="15.75" customHeight="1">
      <c r="N992" s="140"/>
    </row>
  </sheetData>
  <sheetProtection algorithmName="SHA-512" hashValue="/VLdwei1v/ZnMXOqfgEZQyTEot4/HkcZ4CK4TSw5qPsWzDGfezn9n8pLjRE82iVg/DUa+sZ+M3b0h6k9mA9aqA==" saltValue="sfWQUP4KnyZfuvXz9qsD8A==" spinCount="100000" sheet="1" formatCells="0"/>
  <mergeCells count="99">
    <mergeCell ref="A38:D38"/>
    <mergeCell ref="E38:G38"/>
    <mergeCell ref="H38:J38"/>
    <mergeCell ref="K38:M38"/>
    <mergeCell ref="A2:N2"/>
    <mergeCell ref="A3:N3"/>
    <mergeCell ref="A5:N5"/>
    <mergeCell ref="A6:K6"/>
    <mergeCell ref="A7:M7"/>
    <mergeCell ref="F8:G8"/>
    <mergeCell ref="A10:D10"/>
    <mergeCell ref="A11:D11"/>
    <mergeCell ref="A13:M13"/>
    <mergeCell ref="F14:G14"/>
    <mergeCell ref="E8:E9"/>
    <mergeCell ref="E14:E15"/>
    <mergeCell ref="K8:K9"/>
    <mergeCell ref="K14:K15"/>
    <mergeCell ref="L8:L9"/>
    <mergeCell ref="A16:D16"/>
    <mergeCell ref="A17:D17"/>
    <mergeCell ref="H8:H9"/>
    <mergeCell ref="H14:H15"/>
    <mergeCell ref="I8:I9"/>
    <mergeCell ref="I14:I15"/>
    <mergeCell ref="J8:J9"/>
    <mergeCell ref="J14:J15"/>
    <mergeCell ref="A20:M20"/>
    <mergeCell ref="C21:D21"/>
    <mergeCell ref="A26:M26"/>
    <mergeCell ref="K21:K22"/>
    <mergeCell ref="M16:M17"/>
    <mergeCell ref="M21:M22"/>
    <mergeCell ref="M23:M24"/>
    <mergeCell ref="F27:G27"/>
    <mergeCell ref="A29:D29"/>
    <mergeCell ref="A30:D30"/>
    <mergeCell ref="A32:M32"/>
    <mergeCell ref="A33:D33"/>
    <mergeCell ref="E33:G33"/>
    <mergeCell ref="H33:J33"/>
    <mergeCell ref="K33:M33"/>
    <mergeCell ref="K27:K28"/>
    <mergeCell ref="M29:M30"/>
    <mergeCell ref="M27:M28"/>
    <mergeCell ref="H37:J37"/>
    <mergeCell ref="K37:M37"/>
    <mergeCell ref="A34:D34"/>
    <mergeCell ref="E34:G34"/>
    <mergeCell ref="H34:J34"/>
    <mergeCell ref="K34:M34"/>
    <mergeCell ref="A35:D35"/>
    <mergeCell ref="E35:G35"/>
    <mergeCell ref="H35:J35"/>
    <mergeCell ref="K35:M35"/>
    <mergeCell ref="A36:D36"/>
    <mergeCell ref="E36:G36"/>
    <mergeCell ref="H36:J36"/>
    <mergeCell ref="K36:M36"/>
    <mergeCell ref="A37:D37"/>
    <mergeCell ref="E37:G37"/>
    <mergeCell ref="A43:J43"/>
    <mergeCell ref="K43:M43"/>
    <mergeCell ref="A21:A22"/>
    <mergeCell ref="B21:B22"/>
    <mergeCell ref="E21:E22"/>
    <mergeCell ref="E27:E28"/>
    <mergeCell ref="F21:F22"/>
    <mergeCell ref="G21:G22"/>
    <mergeCell ref="H21:H22"/>
    <mergeCell ref="H27:H28"/>
    <mergeCell ref="I21:I22"/>
    <mergeCell ref="I27:I28"/>
    <mergeCell ref="J21:J22"/>
    <mergeCell ref="J27:J28"/>
    <mergeCell ref="A39:J39"/>
    <mergeCell ref="K39:M39"/>
    <mergeCell ref="A42:J42"/>
    <mergeCell ref="K42:M42"/>
    <mergeCell ref="A40:J40"/>
    <mergeCell ref="K40:M40"/>
    <mergeCell ref="A41:J41"/>
    <mergeCell ref="K41:M41"/>
    <mergeCell ref="N29:N30"/>
    <mergeCell ref="N34:N36"/>
    <mergeCell ref="A27:D28"/>
    <mergeCell ref="A14:D15"/>
    <mergeCell ref="A8:D9"/>
    <mergeCell ref="N8:N9"/>
    <mergeCell ref="N14:N15"/>
    <mergeCell ref="N16:N17"/>
    <mergeCell ref="N21:N22"/>
    <mergeCell ref="N27:N28"/>
    <mergeCell ref="L14:L15"/>
    <mergeCell ref="L21:L22"/>
    <mergeCell ref="L27:L28"/>
    <mergeCell ref="M8:M9"/>
    <mergeCell ref="M10:M11"/>
    <mergeCell ref="M14:M15"/>
  </mergeCells>
  <pageMargins left="0.25" right="0.25" top="0.75" bottom="0.75" header="0" footer="0"/>
  <pageSetup paperSize="9" scale="4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election activeCell="G15" sqref="G15"/>
    </sheetView>
  </sheetViews>
  <sheetFormatPr defaultColWidth="9.140625" defaultRowHeight="15"/>
  <cols>
    <col min="2" max="2" width="44.42578125" customWidth="1"/>
    <col min="4" max="4" width="16.85546875"/>
    <col min="5" max="6" width="17" customWidth="1"/>
  </cols>
  <sheetData>
    <row r="1" spans="1:7" ht="18" customHeight="1">
      <c r="A1" s="512" t="s">
        <v>287</v>
      </c>
      <c r="B1" s="512"/>
      <c r="C1" s="512"/>
      <c r="D1" s="512"/>
      <c r="E1" s="512"/>
      <c r="F1" s="512"/>
    </row>
    <row r="2" spans="1:7" ht="25.5">
      <c r="A2" s="72" t="s">
        <v>288</v>
      </c>
      <c r="B2" s="72" t="s">
        <v>289</v>
      </c>
      <c r="C2" s="72" t="s">
        <v>290</v>
      </c>
      <c r="D2" s="72" t="s">
        <v>291</v>
      </c>
      <c r="E2" s="72" t="s">
        <v>292</v>
      </c>
      <c r="F2" s="71" t="s">
        <v>293</v>
      </c>
    </row>
    <row r="3" spans="1:7" ht="39">
      <c r="A3" s="73">
        <v>1</v>
      </c>
      <c r="B3" s="74" t="s">
        <v>294</v>
      </c>
      <c r="C3" s="73" t="s">
        <v>295</v>
      </c>
      <c r="D3" s="75">
        <v>90</v>
      </c>
      <c r="E3" s="76">
        <f>3.73*70%</f>
        <v>2.61</v>
      </c>
      <c r="F3" s="77">
        <f t="shared" ref="F3:F38" si="0">D3*E3</f>
        <v>234.9</v>
      </c>
    </row>
    <row r="4" spans="1:7" ht="39">
      <c r="A4" s="73">
        <v>2</v>
      </c>
      <c r="B4" s="74" t="s">
        <v>296</v>
      </c>
      <c r="C4" s="73" t="s">
        <v>295</v>
      </c>
      <c r="D4" s="75">
        <v>18</v>
      </c>
      <c r="E4" s="76">
        <f>16.9*70%</f>
        <v>11.83</v>
      </c>
      <c r="F4" s="77">
        <f t="shared" si="0"/>
        <v>212.94</v>
      </c>
    </row>
    <row r="5" spans="1:7" ht="39">
      <c r="A5" s="73">
        <v>3</v>
      </c>
      <c r="B5" s="74" t="s">
        <v>297</v>
      </c>
      <c r="C5" s="73" t="s">
        <v>298</v>
      </c>
      <c r="D5" s="75">
        <v>3</v>
      </c>
      <c r="E5" s="76">
        <f>16.22*55%</f>
        <v>8.92</v>
      </c>
      <c r="F5" s="77">
        <f t="shared" si="0"/>
        <v>26.76</v>
      </c>
    </row>
    <row r="6" spans="1:7" ht="39">
      <c r="A6" s="73">
        <v>4</v>
      </c>
      <c r="B6" s="74" t="s">
        <v>299</v>
      </c>
      <c r="C6" s="73" t="s">
        <v>298</v>
      </c>
      <c r="D6" s="75">
        <v>20</v>
      </c>
      <c r="E6" s="76">
        <f>7.22*50%</f>
        <v>3.61</v>
      </c>
      <c r="F6" s="77">
        <f t="shared" si="0"/>
        <v>72.2</v>
      </c>
    </row>
    <row r="7" spans="1:7" ht="26.25">
      <c r="A7" s="73">
        <v>5</v>
      </c>
      <c r="B7" s="74" t="s">
        <v>300</v>
      </c>
      <c r="C7" s="73" t="s">
        <v>298</v>
      </c>
      <c r="D7" s="75">
        <v>24</v>
      </c>
      <c r="E7" s="76">
        <f>2.08*60%</f>
        <v>1.25</v>
      </c>
      <c r="F7" s="77">
        <f t="shared" si="0"/>
        <v>30</v>
      </c>
    </row>
    <row r="8" spans="1:7" ht="51.75">
      <c r="A8" s="73">
        <v>6</v>
      </c>
      <c r="B8" s="74" t="s">
        <v>301</v>
      </c>
      <c r="C8" s="73" t="s">
        <v>298</v>
      </c>
      <c r="D8" s="75">
        <v>25</v>
      </c>
      <c r="E8" s="76">
        <f>0.96*70%</f>
        <v>0.67</v>
      </c>
      <c r="F8" s="77">
        <f t="shared" si="0"/>
        <v>16.75</v>
      </c>
    </row>
    <row r="9" spans="1:7" ht="26.25">
      <c r="A9" s="73">
        <v>7</v>
      </c>
      <c r="B9" s="74" t="s">
        <v>302</v>
      </c>
      <c r="C9" s="73" t="s">
        <v>298</v>
      </c>
      <c r="D9" s="75">
        <v>15</v>
      </c>
      <c r="E9" s="76">
        <f>1.82*70%</f>
        <v>1.27</v>
      </c>
      <c r="F9" s="77">
        <f t="shared" si="0"/>
        <v>19.05</v>
      </c>
    </row>
    <row r="10" spans="1:7">
      <c r="A10" s="73">
        <v>8</v>
      </c>
      <c r="B10" s="74" t="s">
        <v>303</v>
      </c>
      <c r="C10" s="73" t="s">
        <v>304</v>
      </c>
      <c r="D10" s="75">
        <v>3</v>
      </c>
      <c r="E10" s="76">
        <f>2.26*70%</f>
        <v>1.58</v>
      </c>
      <c r="F10" s="77">
        <f t="shared" si="0"/>
        <v>4.74</v>
      </c>
    </row>
    <row r="11" spans="1:7" ht="51.75">
      <c r="A11" s="73">
        <v>9</v>
      </c>
      <c r="B11" s="74" t="s">
        <v>305</v>
      </c>
      <c r="C11" s="73" t="s">
        <v>306</v>
      </c>
      <c r="D11" s="75">
        <v>3</v>
      </c>
      <c r="E11" s="76">
        <f>51.79*70%</f>
        <v>36.25</v>
      </c>
      <c r="F11" s="77">
        <f t="shared" si="0"/>
        <v>108.75</v>
      </c>
    </row>
    <row r="12" spans="1:7">
      <c r="A12" s="73">
        <v>10</v>
      </c>
      <c r="B12" s="74" t="s">
        <v>307</v>
      </c>
      <c r="C12" s="73" t="s">
        <v>298</v>
      </c>
      <c r="D12" s="75">
        <v>18</v>
      </c>
      <c r="E12" s="76">
        <f>9.68*70%</f>
        <v>6.78</v>
      </c>
      <c r="F12" s="77">
        <f t="shared" si="0"/>
        <v>122.04</v>
      </c>
    </row>
    <row r="13" spans="1:7">
      <c r="A13" s="73">
        <v>11</v>
      </c>
      <c r="B13" s="74" t="s">
        <v>308</v>
      </c>
      <c r="C13" s="73" t="s">
        <v>309</v>
      </c>
      <c r="D13" s="75">
        <v>20</v>
      </c>
      <c r="E13" s="76">
        <v>3.7</v>
      </c>
      <c r="F13" s="77">
        <f t="shared" si="0"/>
        <v>74</v>
      </c>
    </row>
    <row r="14" spans="1:7" ht="39">
      <c r="A14" s="251">
        <v>12</v>
      </c>
      <c r="B14" s="252" t="s">
        <v>310</v>
      </c>
      <c r="C14" s="251" t="s">
        <v>298</v>
      </c>
      <c r="D14" s="253">
        <v>0</v>
      </c>
      <c r="E14" s="255">
        <f>7.44*50%</f>
        <v>3.72</v>
      </c>
      <c r="F14" s="254">
        <f t="shared" si="0"/>
        <v>0</v>
      </c>
      <c r="G14" s="250" t="s">
        <v>365</v>
      </c>
    </row>
    <row r="15" spans="1:7" ht="64.5">
      <c r="A15" s="73">
        <v>13</v>
      </c>
      <c r="B15" s="74" t="s">
        <v>311</v>
      </c>
      <c r="C15" s="73" t="s">
        <v>312</v>
      </c>
      <c r="D15" s="75">
        <v>100</v>
      </c>
      <c r="E15" s="76">
        <f>16.59*50%</f>
        <v>8.3000000000000007</v>
      </c>
      <c r="F15" s="77">
        <f t="shared" si="0"/>
        <v>830</v>
      </c>
    </row>
    <row r="16" spans="1:7" ht="39">
      <c r="A16" s="73">
        <v>14</v>
      </c>
      <c r="B16" s="74" t="s">
        <v>313</v>
      </c>
      <c r="C16" s="73" t="s">
        <v>298</v>
      </c>
      <c r="D16" s="75">
        <v>3</v>
      </c>
      <c r="E16" s="76">
        <f>4.17*70%</f>
        <v>2.92</v>
      </c>
      <c r="F16" s="77">
        <f t="shared" si="0"/>
        <v>8.76</v>
      </c>
    </row>
    <row r="17" spans="1:6" ht="39">
      <c r="A17" s="73">
        <v>15</v>
      </c>
      <c r="B17" s="74" t="s">
        <v>314</v>
      </c>
      <c r="C17" s="73" t="s">
        <v>298</v>
      </c>
      <c r="D17" s="75">
        <v>2</v>
      </c>
      <c r="E17" s="76">
        <f>17.31*55%</f>
        <v>9.52</v>
      </c>
      <c r="F17" s="77">
        <f t="shared" si="0"/>
        <v>19.04</v>
      </c>
    </row>
    <row r="18" spans="1:6" ht="39">
      <c r="A18" s="73">
        <v>16</v>
      </c>
      <c r="B18" s="74" t="s">
        <v>315</v>
      </c>
      <c r="C18" s="73" t="s">
        <v>298</v>
      </c>
      <c r="D18" s="75">
        <v>2</v>
      </c>
      <c r="E18" s="76">
        <f>28.66*50%</f>
        <v>14.33</v>
      </c>
      <c r="F18" s="77">
        <f t="shared" si="0"/>
        <v>28.66</v>
      </c>
    </row>
    <row r="19" spans="1:6" ht="51.75">
      <c r="A19" s="73">
        <v>17</v>
      </c>
      <c r="B19" s="74" t="s">
        <v>316</v>
      </c>
      <c r="C19" s="73" t="s">
        <v>295</v>
      </c>
      <c r="D19" s="75">
        <v>20</v>
      </c>
      <c r="E19" s="76">
        <f>23.32*50%</f>
        <v>11.66</v>
      </c>
      <c r="F19" s="77">
        <f t="shared" si="0"/>
        <v>233.2</v>
      </c>
    </row>
    <row r="20" spans="1:6" ht="26.25">
      <c r="A20" s="73">
        <v>18</v>
      </c>
      <c r="B20" s="74" t="s">
        <v>317</v>
      </c>
      <c r="C20" s="73" t="s">
        <v>304</v>
      </c>
      <c r="D20" s="75">
        <v>30</v>
      </c>
      <c r="E20" s="76">
        <f>4.41*70%</f>
        <v>3.09</v>
      </c>
      <c r="F20" s="77">
        <f t="shared" si="0"/>
        <v>92.7</v>
      </c>
    </row>
    <row r="21" spans="1:6" ht="39">
      <c r="A21" s="73">
        <v>19</v>
      </c>
      <c r="B21" s="74" t="s">
        <v>318</v>
      </c>
      <c r="C21" s="73" t="s">
        <v>312</v>
      </c>
      <c r="D21" s="75">
        <v>10</v>
      </c>
      <c r="E21" s="76">
        <f>41.57*70%</f>
        <v>29.1</v>
      </c>
      <c r="F21" s="77">
        <f t="shared" si="0"/>
        <v>291</v>
      </c>
    </row>
    <row r="22" spans="1:6" ht="26.25">
      <c r="A22" s="73">
        <v>20</v>
      </c>
      <c r="B22" s="74" t="s">
        <v>319</v>
      </c>
      <c r="C22" s="73" t="s">
        <v>312</v>
      </c>
      <c r="D22" s="75">
        <v>10</v>
      </c>
      <c r="E22" s="76">
        <f>22.95*70%</f>
        <v>16.07</v>
      </c>
      <c r="F22" s="77">
        <f t="shared" si="0"/>
        <v>160.69999999999999</v>
      </c>
    </row>
    <row r="23" spans="1:6" ht="26.25">
      <c r="A23" s="73">
        <v>21</v>
      </c>
      <c r="B23" s="74" t="s">
        <v>320</v>
      </c>
      <c r="C23" s="73" t="s">
        <v>312</v>
      </c>
      <c r="D23" s="75">
        <v>10</v>
      </c>
      <c r="E23" s="76">
        <f>14.6*70%</f>
        <v>10.220000000000001</v>
      </c>
      <c r="F23" s="77">
        <f t="shared" si="0"/>
        <v>102.2</v>
      </c>
    </row>
    <row r="24" spans="1:6" ht="51.75">
      <c r="A24" s="73">
        <v>22</v>
      </c>
      <c r="B24" s="74" t="s">
        <v>321</v>
      </c>
      <c r="C24" s="73" t="s">
        <v>298</v>
      </c>
      <c r="D24" s="75">
        <v>3</v>
      </c>
      <c r="E24" s="76">
        <f>19.63*70%</f>
        <v>13.74</v>
      </c>
      <c r="F24" s="77">
        <f t="shared" si="0"/>
        <v>41.22</v>
      </c>
    </row>
    <row r="25" spans="1:6" ht="51.75">
      <c r="A25" s="73">
        <v>23</v>
      </c>
      <c r="B25" s="74" t="s">
        <v>322</v>
      </c>
      <c r="C25" s="73" t="s">
        <v>298</v>
      </c>
      <c r="D25" s="75">
        <v>3</v>
      </c>
      <c r="E25" s="76">
        <f>29.3*50%</f>
        <v>14.65</v>
      </c>
      <c r="F25" s="77">
        <f t="shared" si="0"/>
        <v>43.95</v>
      </c>
    </row>
    <row r="26" spans="1:6" ht="39">
      <c r="A26" s="73">
        <v>24</v>
      </c>
      <c r="B26" s="74" t="s">
        <v>323</v>
      </c>
      <c r="C26" s="73" t="s">
        <v>298</v>
      </c>
      <c r="D26" s="75">
        <v>20</v>
      </c>
      <c r="E26" s="76">
        <f>8.04*70%</f>
        <v>5.63</v>
      </c>
      <c r="F26" s="77">
        <f t="shared" si="0"/>
        <v>112.6</v>
      </c>
    </row>
    <row r="27" spans="1:6" ht="26.25">
      <c r="A27" s="73">
        <v>25</v>
      </c>
      <c r="B27" s="74" t="s">
        <v>324</v>
      </c>
      <c r="C27" s="73" t="s">
        <v>298</v>
      </c>
      <c r="D27" s="75">
        <v>3</v>
      </c>
      <c r="E27" s="76">
        <f>8.62*70%</f>
        <v>6.03</v>
      </c>
      <c r="F27" s="77">
        <f t="shared" si="0"/>
        <v>18.09</v>
      </c>
    </row>
    <row r="28" spans="1:6" ht="51.75">
      <c r="A28" s="73">
        <v>26</v>
      </c>
      <c r="B28" s="74" t="s">
        <v>325</v>
      </c>
      <c r="C28" s="73" t="s">
        <v>298</v>
      </c>
      <c r="D28" s="75">
        <v>2</v>
      </c>
      <c r="E28" s="76">
        <f>14.63*70%</f>
        <v>10.24</v>
      </c>
      <c r="F28" s="77">
        <f t="shared" si="0"/>
        <v>20.48</v>
      </c>
    </row>
    <row r="29" spans="1:6">
      <c r="A29" s="73">
        <v>27</v>
      </c>
      <c r="B29" s="74" t="s">
        <v>326</v>
      </c>
      <c r="C29" s="73" t="s">
        <v>298</v>
      </c>
      <c r="D29" s="75">
        <v>2</v>
      </c>
      <c r="E29" s="76">
        <f>11.79*70%</f>
        <v>8.25</v>
      </c>
      <c r="F29" s="77">
        <f t="shared" si="0"/>
        <v>16.5</v>
      </c>
    </row>
    <row r="30" spans="1:6">
      <c r="A30" s="73">
        <v>28</v>
      </c>
      <c r="B30" s="74" t="s">
        <v>327</v>
      </c>
      <c r="C30" s="73" t="s">
        <v>298</v>
      </c>
      <c r="D30" s="75">
        <v>3</v>
      </c>
      <c r="E30" s="76">
        <f>3.38*70%</f>
        <v>2.37</v>
      </c>
      <c r="F30" s="77">
        <f t="shared" si="0"/>
        <v>7.11</v>
      </c>
    </row>
    <row r="31" spans="1:6" ht="64.5">
      <c r="A31" s="73">
        <v>29</v>
      </c>
      <c r="B31" s="74" t="s">
        <v>328</v>
      </c>
      <c r="C31" s="73" t="s">
        <v>306</v>
      </c>
      <c r="D31" s="75">
        <v>30</v>
      </c>
      <c r="E31" s="76">
        <f>20.96*70%</f>
        <v>14.67</v>
      </c>
      <c r="F31" s="77">
        <f t="shared" si="0"/>
        <v>440.1</v>
      </c>
    </row>
    <row r="32" spans="1:6" ht="90">
      <c r="A32" s="73">
        <v>30</v>
      </c>
      <c r="B32" s="74" t="s">
        <v>329</v>
      </c>
      <c r="C32" s="73" t="s">
        <v>298</v>
      </c>
      <c r="D32" s="75">
        <v>15</v>
      </c>
      <c r="E32" s="76">
        <f>2.39*70%</f>
        <v>1.67</v>
      </c>
      <c r="F32" s="77">
        <f t="shared" si="0"/>
        <v>25.05</v>
      </c>
    </row>
    <row r="33" spans="1:6" ht="26.25">
      <c r="A33" s="73">
        <v>31</v>
      </c>
      <c r="B33" s="74" t="s">
        <v>330</v>
      </c>
      <c r="C33" s="73" t="s">
        <v>331</v>
      </c>
      <c r="D33" s="75">
        <v>10</v>
      </c>
      <c r="E33" s="76">
        <f>17.43*70%</f>
        <v>12.2</v>
      </c>
      <c r="F33" s="77">
        <f t="shared" si="0"/>
        <v>122</v>
      </c>
    </row>
    <row r="34" spans="1:6">
      <c r="A34" s="73">
        <v>32</v>
      </c>
      <c r="B34" s="74" t="s">
        <v>332</v>
      </c>
      <c r="C34" s="73" t="s">
        <v>298</v>
      </c>
      <c r="D34" s="75">
        <v>1</v>
      </c>
      <c r="E34" s="76">
        <f>26.43*70%</f>
        <v>18.5</v>
      </c>
      <c r="F34" s="77">
        <f t="shared" si="0"/>
        <v>18.5</v>
      </c>
    </row>
    <row r="35" spans="1:6">
      <c r="A35" s="73">
        <v>33</v>
      </c>
      <c r="B35" s="74" t="s">
        <v>333</v>
      </c>
      <c r="C35" s="73" t="s">
        <v>298</v>
      </c>
      <c r="D35" s="75">
        <v>10</v>
      </c>
      <c r="E35" s="76">
        <f>2.48*70%</f>
        <v>1.74</v>
      </c>
      <c r="F35" s="77">
        <f t="shared" si="0"/>
        <v>17.399999999999999</v>
      </c>
    </row>
    <row r="36" spans="1:6" ht="26.25">
      <c r="A36" s="73">
        <v>34</v>
      </c>
      <c r="B36" s="74" t="s">
        <v>334</v>
      </c>
      <c r="C36" s="73" t="s">
        <v>335</v>
      </c>
      <c r="D36" s="75">
        <v>2</v>
      </c>
      <c r="E36" s="76">
        <f>94.95*70%</f>
        <v>66.47</v>
      </c>
      <c r="F36" s="77">
        <f t="shared" si="0"/>
        <v>132.94</v>
      </c>
    </row>
    <row r="37" spans="1:6" ht="26.25">
      <c r="A37" s="73">
        <v>35</v>
      </c>
      <c r="B37" s="74" t="s">
        <v>336</v>
      </c>
      <c r="C37" s="73" t="s">
        <v>298</v>
      </c>
      <c r="D37" s="75">
        <v>5</v>
      </c>
      <c r="E37" s="76">
        <f>4.99*70%</f>
        <v>3.49</v>
      </c>
      <c r="F37" s="77">
        <f t="shared" si="0"/>
        <v>17.45</v>
      </c>
    </row>
    <row r="38" spans="1:6">
      <c r="A38" s="73">
        <v>36</v>
      </c>
      <c r="B38" s="74" t="s">
        <v>337</v>
      </c>
      <c r="C38" s="73" t="s">
        <v>298</v>
      </c>
      <c r="D38" s="75">
        <v>4</v>
      </c>
      <c r="E38" s="76">
        <f>347.4*70%</f>
        <v>243.18</v>
      </c>
      <c r="F38" s="77">
        <f t="shared" si="0"/>
        <v>972.72</v>
      </c>
    </row>
    <row r="39" spans="1:6">
      <c r="A39" s="513" t="s">
        <v>77</v>
      </c>
      <c r="B39" s="514"/>
      <c r="C39" s="514"/>
      <c r="D39" s="514"/>
      <c r="E39" s="515"/>
      <c r="F39" s="78">
        <f>SUM(F3:F38)</f>
        <v>4694.5</v>
      </c>
    </row>
  </sheetData>
  <sheetProtection algorithmName="SHA-512" hashValue="hXqAupoHF+VJS58dxhs5xt0Hk7XswjAX9weHlUA/SXzc2i3B+pIrTdAEx+tYnH1WB125wnlUxgm15zGwy9fWdQ==" saltValue="v8QPHEggpOkD9jZZqPEWmQ==" spinCount="100000" sheet="1" formatCells="0"/>
  <mergeCells count="2">
    <mergeCell ref="A1:F1"/>
    <mergeCell ref="A39:E39"/>
  </mergeCells>
  <pageMargins left="0.75" right="0.75" top="1" bottom="1" header="0.51180555555555596" footer="0.51180555555555596"/>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50" t="s">
        <v>338</v>
      </c>
      <c r="B1" s="350"/>
      <c r="C1" s="350"/>
      <c r="D1" s="350"/>
      <c r="E1" s="350"/>
      <c r="F1" s="350"/>
      <c r="G1" s="350"/>
    </row>
    <row r="3" spans="1:7">
      <c r="B3" s="3" t="s">
        <v>1</v>
      </c>
      <c r="C3" s="351"/>
      <c r="D3" s="351"/>
      <c r="E3" s="351"/>
      <c r="F3" s="351"/>
      <c r="G3" s="351"/>
    </row>
    <row r="4" spans="1:7">
      <c r="B4" s="3" t="s">
        <v>2</v>
      </c>
      <c r="C4" s="351"/>
      <c r="D4" s="351"/>
      <c r="E4" s="351"/>
      <c r="F4" s="351"/>
      <c r="G4" s="351"/>
    </row>
    <row r="5" spans="1:7">
      <c r="B5" s="3" t="s">
        <v>3</v>
      </c>
      <c r="C5" s="351"/>
      <c r="D5" s="351"/>
      <c r="E5" s="351"/>
      <c r="F5" s="351"/>
      <c r="G5" s="351"/>
    </row>
    <row r="7" spans="1:7">
      <c r="A7" s="305" t="s">
        <v>4</v>
      </c>
      <c r="B7" s="305"/>
      <c r="C7" s="305"/>
      <c r="D7" s="305"/>
      <c r="E7" s="305"/>
      <c r="F7" s="305"/>
      <c r="G7" s="305"/>
    </row>
    <row r="8" spans="1:7">
      <c r="A8" s="4" t="s">
        <v>5</v>
      </c>
      <c r="B8" s="327" t="s">
        <v>6</v>
      </c>
      <c r="C8" s="328"/>
      <c r="D8" s="328"/>
      <c r="E8" s="328"/>
      <c r="F8" s="329"/>
      <c r="G8" s="4"/>
    </row>
    <row r="9" spans="1:7">
      <c r="A9" s="4" t="s">
        <v>7</v>
      </c>
      <c r="B9" s="327" t="s">
        <v>8</v>
      </c>
      <c r="C9" s="328"/>
      <c r="D9" s="328"/>
      <c r="E9" s="328"/>
      <c r="F9" s="329"/>
      <c r="G9" s="4" t="s">
        <v>9</v>
      </c>
    </row>
    <row r="10" spans="1:7">
      <c r="A10" s="4" t="s">
        <v>10</v>
      </c>
      <c r="B10" s="327" t="s">
        <v>339</v>
      </c>
      <c r="C10" s="328"/>
      <c r="D10" s="328"/>
      <c r="E10" s="328"/>
      <c r="F10" s="329"/>
      <c r="G10" s="6" t="s">
        <v>12</v>
      </c>
    </row>
    <row r="11" spans="1:7">
      <c r="A11" s="4" t="s">
        <v>13</v>
      </c>
      <c r="B11" s="327" t="s">
        <v>14</v>
      </c>
      <c r="C11" s="328"/>
      <c r="D11" s="328"/>
      <c r="E11" s="328"/>
      <c r="F11" s="329"/>
      <c r="G11" s="4">
        <v>12</v>
      </c>
    </row>
    <row r="12" spans="1:7">
      <c r="G12" s="7"/>
    </row>
    <row r="13" spans="1:7">
      <c r="A13" s="326" t="s">
        <v>15</v>
      </c>
      <c r="B13" s="326"/>
      <c r="C13" s="326"/>
      <c r="D13" s="326"/>
      <c r="E13" s="326"/>
      <c r="F13" s="326"/>
      <c r="G13" s="326"/>
    </row>
    <row r="14" spans="1:7" ht="15" customHeight="1">
      <c r="A14" s="8" t="s">
        <v>16</v>
      </c>
      <c r="B14" s="5"/>
      <c r="C14" s="321"/>
      <c r="D14" s="322" t="s">
        <v>17</v>
      </c>
      <c r="E14" s="323"/>
      <c r="F14" s="305" t="s">
        <v>18</v>
      </c>
      <c r="G14" s="305"/>
    </row>
    <row r="15" spans="1:7" ht="13.5">
      <c r="A15" s="341" t="s">
        <v>340</v>
      </c>
      <c r="B15" s="341"/>
      <c r="C15" s="342"/>
      <c r="D15" s="343" t="s">
        <v>341</v>
      </c>
      <c r="E15" s="344"/>
      <c r="F15" s="345" t="s">
        <v>342</v>
      </c>
      <c r="G15" s="346"/>
    </row>
    <row r="17" spans="1:7">
      <c r="A17" s="306" t="s">
        <v>21</v>
      </c>
      <c r="B17" s="306"/>
      <c r="C17" s="306"/>
      <c r="D17" s="306"/>
      <c r="E17" s="306"/>
      <c r="F17" s="306"/>
      <c r="G17" s="306"/>
    </row>
    <row r="18" spans="1:7">
      <c r="B18" s="10"/>
      <c r="C18" s="10"/>
      <c r="D18" s="10"/>
      <c r="E18" s="10"/>
      <c r="F18" s="11"/>
      <c r="G18" s="10"/>
    </row>
    <row r="19" spans="1:7">
      <c r="A19" s="305" t="s">
        <v>22</v>
      </c>
      <c r="B19" s="305"/>
      <c r="C19" s="305"/>
      <c r="D19" s="305"/>
      <c r="E19" s="305"/>
      <c r="F19" s="305"/>
      <c r="G19" s="305"/>
    </row>
    <row r="20" spans="1:7">
      <c r="A20" s="4">
        <v>1</v>
      </c>
      <c r="B20" s="347" t="s">
        <v>23</v>
      </c>
      <c r="C20" s="348"/>
      <c r="D20" s="348"/>
      <c r="E20" s="349"/>
      <c r="F20" s="321" t="s">
        <v>343</v>
      </c>
      <c r="G20" s="323"/>
    </row>
    <row r="21" spans="1:7">
      <c r="A21" s="4">
        <v>2</v>
      </c>
      <c r="B21" s="327" t="s">
        <v>25</v>
      </c>
      <c r="C21" s="328"/>
      <c r="D21" s="328"/>
      <c r="E21" s="329"/>
      <c r="F21" s="335">
        <v>873.6</v>
      </c>
      <c r="G21" s="336"/>
    </row>
    <row r="22" spans="1:7">
      <c r="A22" s="4">
        <v>3</v>
      </c>
      <c r="B22" s="327" t="s">
        <v>26</v>
      </c>
      <c r="C22" s="328"/>
      <c r="D22" s="328"/>
      <c r="E22" s="329"/>
      <c r="F22" s="337" t="s">
        <v>27</v>
      </c>
      <c r="G22" s="338"/>
    </row>
    <row r="23" spans="1:7">
      <c r="A23" s="4">
        <v>4</v>
      </c>
      <c r="B23" s="327" t="s">
        <v>28</v>
      </c>
      <c r="C23" s="328"/>
      <c r="D23" s="328"/>
      <c r="E23" s="329"/>
      <c r="F23" s="339" t="s">
        <v>29</v>
      </c>
      <c r="G23" s="340"/>
    </row>
    <row r="24" spans="1:7">
      <c r="A24" s="10"/>
      <c r="B24" s="12"/>
      <c r="C24" s="12"/>
      <c r="D24" s="12"/>
      <c r="E24" s="12"/>
      <c r="F24" s="11"/>
      <c r="G24" s="13"/>
    </row>
    <row r="25" spans="1:7">
      <c r="A25" s="10"/>
      <c r="B25" s="316" t="s">
        <v>30</v>
      </c>
      <c r="C25" s="316"/>
      <c r="D25" s="316"/>
      <c r="E25" s="316"/>
      <c r="F25" s="316"/>
      <c r="G25" s="316"/>
    </row>
    <row r="26" spans="1:7">
      <c r="D26" s="67"/>
    </row>
    <row r="27" spans="1:7">
      <c r="B27" s="4">
        <v>1</v>
      </c>
      <c r="C27" s="305" t="s">
        <v>31</v>
      </c>
      <c r="D27" s="305"/>
      <c r="E27" s="305"/>
      <c r="F27" s="15" t="s">
        <v>32</v>
      </c>
      <c r="G27" s="16" t="s">
        <v>33</v>
      </c>
    </row>
    <row r="28" spans="1:7">
      <c r="B28" s="4" t="s">
        <v>5</v>
      </c>
      <c r="C28" s="304" t="s">
        <v>34</v>
      </c>
      <c r="D28" s="304"/>
      <c r="E28" s="304"/>
      <c r="F28" s="17">
        <v>100</v>
      </c>
      <c r="G28" s="18">
        <v>873.6</v>
      </c>
    </row>
    <row r="29" spans="1:7">
      <c r="B29" s="4" t="s">
        <v>7</v>
      </c>
      <c r="C29" s="304" t="s">
        <v>35</v>
      </c>
      <c r="D29" s="304"/>
      <c r="E29" s="304"/>
      <c r="F29" s="19"/>
      <c r="G29" s="17">
        <f>F29*G28</f>
        <v>0</v>
      </c>
    </row>
    <row r="30" spans="1:7">
      <c r="B30" s="4" t="s">
        <v>10</v>
      </c>
      <c r="C30" s="304" t="s">
        <v>36</v>
      </c>
      <c r="D30" s="304"/>
      <c r="E30" s="304"/>
      <c r="F30" s="19"/>
      <c r="G30" s="17">
        <v>0</v>
      </c>
    </row>
    <row r="31" spans="1:7">
      <c r="B31" s="4" t="s">
        <v>13</v>
      </c>
      <c r="C31" s="304" t="s">
        <v>37</v>
      </c>
      <c r="D31" s="304"/>
      <c r="E31" s="304"/>
      <c r="F31" s="19"/>
      <c r="G31" s="17">
        <v>0</v>
      </c>
    </row>
    <row r="32" spans="1:7">
      <c r="B32" s="4" t="s">
        <v>38</v>
      </c>
      <c r="C32" s="304" t="s">
        <v>39</v>
      </c>
      <c r="D32" s="304"/>
      <c r="E32" s="304"/>
      <c r="F32" s="19"/>
      <c r="G32" s="17">
        <v>0</v>
      </c>
    </row>
    <row r="33" spans="1:7">
      <c r="B33" s="4" t="s">
        <v>40</v>
      </c>
      <c r="C33" s="304" t="s">
        <v>41</v>
      </c>
      <c r="D33" s="304"/>
      <c r="E33" s="304"/>
      <c r="F33" s="19"/>
      <c r="G33" s="17">
        <v>0</v>
      </c>
    </row>
    <row r="34" spans="1:7">
      <c r="B34" s="4" t="s">
        <v>42</v>
      </c>
      <c r="C34" s="304" t="s">
        <v>43</v>
      </c>
      <c r="D34" s="304"/>
      <c r="E34" s="304"/>
      <c r="F34" s="19"/>
      <c r="G34" s="17">
        <v>0</v>
      </c>
    </row>
    <row r="35" spans="1:7">
      <c r="B35" s="4" t="s">
        <v>44</v>
      </c>
      <c r="C35" s="304" t="s">
        <v>45</v>
      </c>
      <c r="D35" s="304"/>
      <c r="E35" s="304"/>
      <c r="F35" s="19"/>
      <c r="G35" s="17">
        <f>F35*G28</f>
        <v>0</v>
      </c>
    </row>
    <row r="36" spans="1:7">
      <c r="B36" s="321" t="s">
        <v>46</v>
      </c>
      <c r="C36" s="322"/>
      <c r="D36" s="322"/>
      <c r="E36" s="322"/>
      <c r="F36" s="323"/>
      <c r="G36" s="15">
        <f>SUM(G28:G35)</f>
        <v>873.6</v>
      </c>
    </row>
    <row r="38" spans="1:7" ht="15.75" customHeight="1">
      <c r="A38" s="331" t="s">
        <v>47</v>
      </c>
      <c r="B38" s="331"/>
      <c r="C38" s="331"/>
      <c r="D38" s="331"/>
      <c r="E38" s="331"/>
      <c r="F38" s="331"/>
      <c r="G38" s="10"/>
    </row>
    <row r="40" spans="1:7" ht="15.75" customHeight="1">
      <c r="A40" s="4">
        <v>2</v>
      </c>
      <c r="B40" s="321" t="s">
        <v>48</v>
      </c>
      <c r="C40" s="322"/>
      <c r="D40" s="322"/>
      <c r="E40" s="323"/>
      <c r="F40" s="15" t="s">
        <v>33</v>
      </c>
    </row>
    <row r="41" spans="1:7" ht="15.75" customHeight="1">
      <c r="A41" s="4" t="s">
        <v>5</v>
      </c>
      <c r="B41" s="327" t="s">
        <v>49</v>
      </c>
      <c r="C41" s="328"/>
      <c r="D41" s="20">
        <v>12</v>
      </c>
      <c r="E41" s="21">
        <v>6</v>
      </c>
      <c r="F41" s="22">
        <f>IF(((E41*15-G36*6%)&lt;=0),"0,00",E41*15-G36*6%)</f>
        <v>37.58</v>
      </c>
    </row>
    <row r="42" spans="1:7">
      <c r="A42" s="4" t="s">
        <v>7</v>
      </c>
      <c r="B42" s="327" t="s">
        <v>50</v>
      </c>
      <c r="C42" s="328"/>
      <c r="D42" s="20"/>
      <c r="E42" s="21">
        <v>20</v>
      </c>
      <c r="F42" s="23">
        <f>E42*22</f>
        <v>440</v>
      </c>
      <c r="G42" s="24"/>
    </row>
    <row r="43" spans="1:7">
      <c r="A43" s="4" t="s">
        <v>10</v>
      </c>
      <c r="B43" s="327" t="s">
        <v>51</v>
      </c>
      <c r="C43" s="328"/>
      <c r="D43" s="328"/>
      <c r="E43" s="329"/>
      <c r="F43" s="23">
        <v>150</v>
      </c>
      <c r="G43" s="24"/>
    </row>
    <row r="44" spans="1:7">
      <c r="A44" s="4" t="s">
        <v>13</v>
      </c>
      <c r="B44" s="327" t="s">
        <v>52</v>
      </c>
      <c r="C44" s="328"/>
      <c r="D44" s="328"/>
      <c r="E44" s="329"/>
      <c r="F44" s="26">
        <v>0</v>
      </c>
      <c r="G44" s="24"/>
    </row>
    <row r="45" spans="1:7">
      <c r="A45" s="4" t="s">
        <v>38</v>
      </c>
      <c r="B45" s="327" t="s">
        <v>53</v>
      </c>
      <c r="C45" s="328"/>
      <c r="D45" s="328"/>
      <c r="E45" s="329"/>
      <c r="F45" s="23">
        <v>2.5</v>
      </c>
      <c r="G45" s="24"/>
    </row>
    <row r="46" spans="1:7">
      <c r="A46" s="4" t="s">
        <v>42</v>
      </c>
      <c r="B46" s="327" t="s">
        <v>54</v>
      </c>
      <c r="C46" s="328"/>
      <c r="D46" s="328"/>
      <c r="E46" s="329"/>
      <c r="F46" s="23">
        <v>4.5</v>
      </c>
      <c r="G46" s="24"/>
    </row>
    <row r="47" spans="1:7">
      <c r="A47" s="4" t="s">
        <v>44</v>
      </c>
      <c r="B47" s="332" t="s">
        <v>55</v>
      </c>
      <c r="C47" s="333"/>
      <c r="D47" s="333"/>
      <c r="E47" s="334"/>
      <c r="F47" s="25">
        <v>0</v>
      </c>
      <c r="G47" s="24"/>
    </row>
    <row r="48" spans="1:7">
      <c r="A48" s="305" t="s">
        <v>56</v>
      </c>
      <c r="B48" s="305"/>
      <c r="C48" s="305"/>
      <c r="D48" s="305"/>
      <c r="E48" s="305"/>
      <c r="F48" s="27">
        <f>SUM(F41:F47)</f>
        <v>634.58000000000004</v>
      </c>
      <c r="G48" s="24"/>
    </row>
    <row r="49" spans="1:7">
      <c r="G49" s="24"/>
    </row>
    <row r="50" spans="1:7" ht="15.75" customHeight="1">
      <c r="A50" s="331" t="s">
        <v>57</v>
      </c>
      <c r="B50" s="331"/>
      <c r="C50" s="331"/>
      <c r="D50" s="331"/>
      <c r="E50" s="331"/>
      <c r="F50" s="331"/>
      <c r="G50" s="24"/>
    </row>
    <row r="51" spans="1:7">
      <c r="G51" s="24"/>
    </row>
    <row r="52" spans="1:7">
      <c r="A52" s="4">
        <v>3</v>
      </c>
      <c r="B52" s="305" t="s">
        <v>58</v>
      </c>
      <c r="C52" s="305"/>
      <c r="D52" s="305"/>
      <c r="E52" s="305"/>
      <c r="F52" s="15" t="s">
        <v>33</v>
      </c>
      <c r="G52" s="7"/>
    </row>
    <row r="53" spans="1:7">
      <c r="A53" s="4" t="s">
        <v>5</v>
      </c>
      <c r="B53" s="304" t="s">
        <v>59</v>
      </c>
      <c r="C53" s="304"/>
      <c r="D53" s="304"/>
      <c r="E53" s="304"/>
      <c r="F53" s="22" t="e">
        <f>#REF!</f>
        <v>#REF!</v>
      </c>
      <c r="G53" s="10"/>
    </row>
    <row r="54" spans="1:7">
      <c r="A54" s="4" t="s">
        <v>7</v>
      </c>
      <c r="B54" s="327" t="s">
        <v>60</v>
      </c>
      <c r="C54" s="328"/>
      <c r="D54" s="328"/>
      <c r="E54" s="329"/>
      <c r="F54" s="17">
        <v>0</v>
      </c>
      <c r="G54" s="12"/>
    </row>
    <row r="55" spans="1:7">
      <c r="A55" s="4" t="s">
        <v>10</v>
      </c>
      <c r="B55" s="304" t="s">
        <v>344</v>
      </c>
      <c r="C55" s="304"/>
      <c r="D55" s="304"/>
      <c r="E55" s="304"/>
      <c r="F55" s="17">
        <v>23.4</v>
      </c>
      <c r="G55" s="12"/>
    </row>
    <row r="56" spans="1:7">
      <c r="A56" s="4" t="s">
        <v>13</v>
      </c>
      <c r="B56" s="304" t="s">
        <v>62</v>
      </c>
      <c r="C56" s="304"/>
      <c r="D56" s="304"/>
      <c r="E56" s="304"/>
      <c r="F56" s="17">
        <v>0</v>
      </c>
      <c r="G56" s="10"/>
    </row>
    <row r="57" spans="1:7">
      <c r="A57" s="305" t="s">
        <v>63</v>
      </c>
      <c r="B57" s="305"/>
      <c r="C57" s="305"/>
      <c r="D57" s="305"/>
      <c r="E57" s="305"/>
      <c r="F57" s="15" t="e">
        <f>SUM(F53:F56)</f>
        <v>#REF!</v>
      </c>
      <c r="G57" s="12"/>
    </row>
    <row r="58" spans="1:7">
      <c r="G58" s="10"/>
    </row>
    <row r="59" spans="1:7">
      <c r="A59" s="306" t="s">
        <v>64</v>
      </c>
      <c r="B59" s="306"/>
      <c r="C59" s="306"/>
      <c r="D59" s="306"/>
      <c r="E59" s="306"/>
      <c r="F59" s="306"/>
    </row>
    <row r="60" spans="1:7">
      <c r="A60" s="9"/>
      <c r="B60" s="9"/>
      <c r="C60" s="9"/>
      <c r="D60" s="9"/>
      <c r="E60" s="9"/>
      <c r="F60" s="9"/>
    </row>
    <row r="61" spans="1:7">
      <c r="A61" s="9"/>
      <c r="B61" s="306" t="s">
        <v>65</v>
      </c>
      <c r="C61" s="306"/>
      <c r="D61" s="306"/>
      <c r="E61" s="306"/>
      <c r="F61" s="306"/>
    </row>
    <row r="62" spans="1:7">
      <c r="B62" s="1" t="s">
        <v>66</v>
      </c>
    </row>
    <row r="63" spans="1:7">
      <c r="A63" s="5" t="s">
        <v>67</v>
      </c>
      <c r="B63" s="305" t="s">
        <v>68</v>
      </c>
      <c r="C63" s="305"/>
      <c r="D63" s="305"/>
      <c r="E63" s="5" t="s">
        <v>32</v>
      </c>
      <c r="F63" s="15" t="s">
        <v>33</v>
      </c>
    </row>
    <row r="64" spans="1:7">
      <c r="A64" s="4" t="s">
        <v>5</v>
      </c>
      <c r="B64" s="304" t="s">
        <v>69</v>
      </c>
      <c r="C64" s="304"/>
      <c r="D64" s="304"/>
      <c r="E64" s="28">
        <v>0.2</v>
      </c>
      <c r="F64" s="17">
        <f t="shared" ref="F64:F71" si="0">E64*$G$36</f>
        <v>174.72</v>
      </c>
      <c r="G64" s="275"/>
    </row>
    <row r="65" spans="1:9">
      <c r="A65" s="4" t="s">
        <v>7</v>
      </c>
      <c r="B65" s="304" t="s">
        <v>70</v>
      </c>
      <c r="C65" s="304"/>
      <c r="D65" s="304"/>
      <c r="E65" s="28">
        <v>1.4999999999999999E-2</v>
      </c>
      <c r="F65" s="17">
        <f t="shared" si="0"/>
        <v>13.1</v>
      </c>
      <c r="G65" s="275"/>
    </row>
    <row r="66" spans="1:9">
      <c r="A66" s="4" t="s">
        <v>10</v>
      </c>
      <c r="B66" s="304" t="s">
        <v>71</v>
      </c>
      <c r="C66" s="304"/>
      <c r="D66" s="304"/>
      <c r="E66" s="28">
        <v>0.01</v>
      </c>
      <c r="F66" s="17">
        <f t="shared" si="0"/>
        <v>8.74</v>
      </c>
      <c r="G66" s="275"/>
    </row>
    <row r="67" spans="1:9">
      <c r="A67" s="4" t="s">
        <v>13</v>
      </c>
      <c r="B67" s="304" t="s">
        <v>72</v>
      </c>
      <c r="C67" s="304"/>
      <c r="D67" s="304"/>
      <c r="E67" s="28">
        <v>2E-3</v>
      </c>
      <c r="F67" s="17">
        <f t="shared" si="0"/>
        <v>1.75</v>
      </c>
      <c r="G67" s="275"/>
    </row>
    <row r="68" spans="1:9">
      <c r="A68" s="4" t="s">
        <v>38</v>
      </c>
      <c r="B68" s="304" t="s">
        <v>73</v>
      </c>
      <c r="C68" s="304"/>
      <c r="D68" s="304"/>
      <c r="E68" s="28">
        <v>2.5000000000000001E-2</v>
      </c>
      <c r="F68" s="17">
        <f t="shared" si="0"/>
        <v>21.84</v>
      </c>
      <c r="G68" s="275"/>
    </row>
    <row r="69" spans="1:9">
      <c r="A69" s="4" t="s">
        <v>40</v>
      </c>
      <c r="B69" s="304" t="s">
        <v>74</v>
      </c>
      <c r="C69" s="304"/>
      <c r="D69" s="304"/>
      <c r="E69" s="28">
        <v>0.08</v>
      </c>
      <c r="F69" s="17">
        <f t="shared" si="0"/>
        <v>69.89</v>
      </c>
      <c r="G69" s="275"/>
    </row>
    <row r="70" spans="1:9">
      <c r="A70" s="4" t="s">
        <v>42</v>
      </c>
      <c r="B70" s="330" t="s">
        <v>345</v>
      </c>
      <c r="C70" s="330"/>
      <c r="D70" s="330"/>
      <c r="E70" s="28">
        <v>0.03</v>
      </c>
      <c r="F70" s="17">
        <f t="shared" si="0"/>
        <v>26.21</v>
      </c>
      <c r="G70" s="275"/>
    </row>
    <row r="71" spans="1:9">
      <c r="A71" s="4" t="s">
        <v>44</v>
      </c>
      <c r="B71" s="304" t="s">
        <v>76</v>
      </c>
      <c r="C71" s="304"/>
      <c r="D71" s="304"/>
      <c r="E71" s="28">
        <v>6.0000000000000001E-3</v>
      </c>
      <c r="F71" s="17">
        <f t="shared" si="0"/>
        <v>5.24</v>
      </c>
      <c r="G71" s="275"/>
    </row>
    <row r="72" spans="1:9">
      <c r="A72" s="305" t="s">
        <v>77</v>
      </c>
      <c r="B72" s="305"/>
      <c r="C72" s="305"/>
      <c r="D72" s="305"/>
      <c r="E72" s="29">
        <f>SUM(E64:E71)</f>
        <v>0.36799999999999999</v>
      </c>
      <c r="F72" s="15">
        <f>SUM(F64:F71)</f>
        <v>321.49</v>
      </c>
    </row>
    <row r="73" spans="1:9">
      <c r="A73" s="14"/>
      <c r="B73" s="14"/>
      <c r="C73" s="14"/>
      <c r="D73" s="14"/>
      <c r="E73" s="30"/>
      <c r="F73" s="31"/>
    </row>
    <row r="74" spans="1:9">
      <c r="A74" s="325" t="s">
        <v>78</v>
      </c>
      <c r="B74" s="325"/>
      <c r="C74" s="325"/>
      <c r="D74" s="325"/>
      <c r="E74" s="325"/>
      <c r="F74" s="325"/>
    </row>
    <row r="75" spans="1:9">
      <c r="B75" s="10"/>
      <c r="C75" s="10"/>
      <c r="D75" s="10"/>
      <c r="E75" s="32"/>
    </row>
    <row r="76" spans="1:9">
      <c r="A76" s="5" t="s">
        <v>79</v>
      </c>
      <c r="B76" s="305" t="s">
        <v>80</v>
      </c>
      <c r="C76" s="305"/>
      <c r="D76" s="305"/>
      <c r="E76" s="5" t="s">
        <v>32</v>
      </c>
      <c r="F76" s="15" t="s">
        <v>33</v>
      </c>
    </row>
    <row r="77" spans="1:9">
      <c r="A77" s="4" t="s">
        <v>5</v>
      </c>
      <c r="B77" s="304" t="s">
        <v>80</v>
      </c>
      <c r="C77" s="304"/>
      <c r="D77" s="304"/>
      <c r="E77" s="28">
        <v>8.3299999999999999E-2</v>
      </c>
      <c r="F77" s="17">
        <f>E77*$G$36</f>
        <v>72.77</v>
      </c>
      <c r="G77" s="33"/>
    </row>
    <row r="78" spans="1:9">
      <c r="A78" s="305" t="s">
        <v>81</v>
      </c>
      <c r="B78" s="305"/>
      <c r="C78" s="305"/>
      <c r="D78" s="305"/>
      <c r="E78" s="29">
        <f>SUM(E77:E77)</f>
        <v>8.3299999999999999E-2</v>
      </c>
      <c r="F78" s="15">
        <f>SUM(F77:F77)</f>
        <v>72.77</v>
      </c>
    </row>
    <row r="79" spans="1:9">
      <c r="A79" s="34" t="s">
        <v>7</v>
      </c>
      <c r="B79" s="311" t="s">
        <v>82</v>
      </c>
      <c r="C79" s="311"/>
      <c r="D79" s="311"/>
      <c r="E79" s="28">
        <f>E72*E78</f>
        <v>3.0700000000000002E-2</v>
      </c>
      <c r="F79" s="35">
        <f>F78*E72</f>
        <v>26.78</v>
      </c>
      <c r="G79" s="33"/>
      <c r="H79" s="33"/>
      <c r="I79" s="33"/>
    </row>
    <row r="80" spans="1:9">
      <c r="A80" s="321" t="s">
        <v>77</v>
      </c>
      <c r="B80" s="322"/>
      <c r="C80" s="322"/>
      <c r="D80" s="322"/>
      <c r="E80" s="29">
        <f>E73*E78</f>
        <v>0</v>
      </c>
      <c r="F80" s="15">
        <f>SUM(F78:F79)</f>
        <v>99.55</v>
      </c>
      <c r="G80" s="33"/>
    </row>
    <row r="81" spans="1:8">
      <c r="B81" s="10"/>
      <c r="C81" s="10"/>
      <c r="D81" s="10"/>
      <c r="E81" s="32"/>
    </row>
    <row r="82" spans="1:8">
      <c r="A82" s="5" t="s">
        <v>83</v>
      </c>
      <c r="B82" s="326" t="s">
        <v>84</v>
      </c>
      <c r="C82" s="326"/>
      <c r="D82" s="326"/>
      <c r="E82" s="5" t="s">
        <v>32</v>
      </c>
      <c r="F82" s="15" t="s">
        <v>33</v>
      </c>
    </row>
    <row r="83" spans="1:8">
      <c r="A83" s="4" t="s">
        <v>5</v>
      </c>
      <c r="B83" s="327" t="s">
        <v>85</v>
      </c>
      <c r="C83" s="328"/>
      <c r="D83" s="329"/>
      <c r="E83" s="28">
        <v>2.0000000000000001E-4</v>
      </c>
      <c r="F83" s="17">
        <f>E83*$G$36</f>
        <v>0.17</v>
      </c>
    </row>
    <row r="84" spans="1:8" ht="32.25" customHeight="1">
      <c r="A84" s="34" t="s">
        <v>7</v>
      </c>
      <c r="B84" s="311" t="s">
        <v>86</v>
      </c>
      <c r="C84" s="311"/>
      <c r="D84" s="311"/>
      <c r="E84" s="36">
        <f>E83*E72</f>
        <v>1E-4</v>
      </c>
      <c r="F84" s="35">
        <f>F83*E72</f>
        <v>0.06</v>
      </c>
    </row>
    <row r="85" spans="1:8">
      <c r="A85" s="321" t="s">
        <v>77</v>
      </c>
      <c r="B85" s="322"/>
      <c r="C85" s="322"/>
      <c r="D85" s="323"/>
      <c r="E85" s="29">
        <f>SUM(E83:E84)</f>
        <v>2.9999999999999997E-4</v>
      </c>
      <c r="F85" s="15">
        <f>SUM(F83:F84)</f>
        <v>0.23</v>
      </c>
    </row>
    <row r="87" spans="1:8">
      <c r="A87" s="316" t="s">
        <v>87</v>
      </c>
      <c r="B87" s="316"/>
      <c r="C87" s="316"/>
      <c r="D87" s="316"/>
      <c r="E87" s="316"/>
      <c r="F87" s="316"/>
    </row>
    <row r="88" spans="1:8">
      <c r="G88" s="37"/>
    </row>
    <row r="89" spans="1:8">
      <c r="A89" s="5" t="s">
        <v>88</v>
      </c>
      <c r="B89" s="305" t="s">
        <v>89</v>
      </c>
      <c r="C89" s="305"/>
      <c r="D89" s="305"/>
      <c r="E89" s="5" t="s">
        <v>32</v>
      </c>
      <c r="F89" s="15" t="s">
        <v>33</v>
      </c>
    </row>
    <row r="90" spans="1:8">
      <c r="A90" s="34" t="s">
        <v>5</v>
      </c>
      <c r="B90" s="276" t="s">
        <v>90</v>
      </c>
      <c r="C90" s="276"/>
      <c r="D90" s="276"/>
      <c r="E90" s="36">
        <v>4.1999999999999997E-3</v>
      </c>
      <c r="F90" s="35">
        <f>E90*$G$36</f>
        <v>3.67</v>
      </c>
      <c r="G90" s="33"/>
      <c r="H90" s="33"/>
    </row>
    <row r="91" spans="1:8">
      <c r="A91" s="34" t="s">
        <v>7</v>
      </c>
      <c r="B91" s="311" t="s">
        <v>91</v>
      </c>
      <c r="C91" s="311"/>
      <c r="D91" s="311"/>
      <c r="E91" s="36">
        <v>2.9999999999999997E-4</v>
      </c>
      <c r="F91" s="35">
        <f>F90*E69</f>
        <v>0.28999999999999998</v>
      </c>
      <c r="G91" s="10"/>
    </row>
    <row r="92" spans="1:8" ht="12.75" customHeight="1">
      <c r="A92" s="34" t="s">
        <v>10</v>
      </c>
      <c r="B92" s="324" t="s">
        <v>92</v>
      </c>
      <c r="C92" s="324"/>
      <c r="D92" s="324"/>
      <c r="E92" s="36">
        <v>4.3499999999999997E-2</v>
      </c>
      <c r="F92" s="35">
        <f>E92*$G$36</f>
        <v>38</v>
      </c>
      <c r="G92" s="10"/>
    </row>
    <row r="93" spans="1:8">
      <c r="A93" s="34" t="s">
        <v>13</v>
      </c>
      <c r="B93" s="311" t="s">
        <v>93</v>
      </c>
      <c r="C93" s="311"/>
      <c r="D93" s="311"/>
      <c r="E93" s="36">
        <v>1.9400000000000001E-2</v>
      </c>
      <c r="F93" s="35">
        <f>E93*$G$36</f>
        <v>16.95</v>
      </c>
      <c r="G93" s="7"/>
    </row>
    <row r="94" spans="1:8">
      <c r="A94" s="34" t="s">
        <v>38</v>
      </c>
      <c r="B94" s="311" t="s">
        <v>94</v>
      </c>
      <c r="C94" s="311"/>
      <c r="D94" s="311"/>
      <c r="E94" s="36">
        <f>E93*E72</f>
        <v>7.1000000000000004E-3</v>
      </c>
      <c r="F94" s="35">
        <f>E94*$G$36</f>
        <v>6.2</v>
      </c>
      <c r="G94" s="7"/>
    </row>
    <row r="95" spans="1:8" ht="12.75" customHeight="1">
      <c r="A95" s="34" t="s">
        <v>40</v>
      </c>
      <c r="B95" s="313" t="s">
        <v>95</v>
      </c>
      <c r="C95" s="314"/>
      <c r="D95" s="315"/>
      <c r="E95" s="38">
        <v>6.4999999999999997E-3</v>
      </c>
      <c r="F95" s="35">
        <f>E95*$G$36</f>
        <v>5.68</v>
      </c>
      <c r="G95" s="7"/>
    </row>
    <row r="96" spans="1:8">
      <c r="A96" s="277" t="s">
        <v>77</v>
      </c>
      <c r="B96" s="278"/>
      <c r="C96" s="278"/>
      <c r="D96" s="279"/>
      <c r="E96" s="39">
        <f>SUM(E90:E95)</f>
        <v>8.1000000000000003E-2</v>
      </c>
      <c r="F96" s="40">
        <f>SUM(F90:F95)</f>
        <v>70.790000000000006</v>
      </c>
      <c r="G96" s="10"/>
    </row>
    <row r="98" spans="1:7">
      <c r="A98" s="316" t="s">
        <v>96</v>
      </c>
      <c r="B98" s="316"/>
      <c r="C98" s="316"/>
      <c r="D98" s="316"/>
      <c r="E98" s="316"/>
      <c r="F98" s="316"/>
    </row>
    <row r="100" spans="1:7" ht="30.75" customHeight="1">
      <c r="A100" s="41" t="s">
        <v>97</v>
      </c>
      <c r="B100" s="317" t="s">
        <v>98</v>
      </c>
      <c r="C100" s="318"/>
      <c r="D100" s="319"/>
      <c r="E100" s="41" t="s">
        <v>32</v>
      </c>
      <c r="F100" s="40" t="s">
        <v>33</v>
      </c>
    </row>
    <row r="101" spans="1:7">
      <c r="A101" s="34" t="s">
        <v>5</v>
      </c>
      <c r="B101" s="320" t="s">
        <v>346</v>
      </c>
      <c r="C101" s="320"/>
      <c r="D101" s="320"/>
      <c r="E101" s="46">
        <v>0.121</v>
      </c>
      <c r="F101" s="35">
        <f t="shared" ref="F101:F106" si="1">E101*$G$36</f>
        <v>105.71</v>
      </c>
      <c r="G101" s="43"/>
    </row>
    <row r="102" spans="1:7">
      <c r="A102" s="34" t="s">
        <v>7</v>
      </c>
      <c r="B102" s="311" t="s">
        <v>100</v>
      </c>
      <c r="C102" s="311"/>
      <c r="D102" s="311"/>
      <c r="E102" s="38">
        <v>1.66E-2</v>
      </c>
      <c r="F102" s="35">
        <f t="shared" si="1"/>
        <v>14.5</v>
      </c>
    </row>
    <row r="103" spans="1:7">
      <c r="A103" s="34" t="s">
        <v>10</v>
      </c>
      <c r="B103" s="295" t="s">
        <v>347</v>
      </c>
      <c r="C103" s="296"/>
      <c r="D103" s="297"/>
      <c r="E103" s="36">
        <v>2.0000000000000001E-4</v>
      </c>
      <c r="F103" s="35">
        <f t="shared" si="1"/>
        <v>0.17</v>
      </c>
    </row>
    <row r="104" spans="1:7">
      <c r="A104" s="34" t="s">
        <v>13</v>
      </c>
      <c r="B104" s="295" t="s">
        <v>102</v>
      </c>
      <c r="C104" s="296"/>
      <c r="D104" s="297"/>
      <c r="E104" s="38">
        <v>2.8E-3</v>
      </c>
      <c r="F104" s="35">
        <f t="shared" si="1"/>
        <v>2.4500000000000002</v>
      </c>
      <c r="G104" s="32"/>
    </row>
    <row r="105" spans="1:7">
      <c r="A105" s="34" t="s">
        <v>38</v>
      </c>
      <c r="B105" s="311" t="s">
        <v>103</v>
      </c>
      <c r="C105" s="311"/>
      <c r="D105" s="311"/>
      <c r="E105" s="38">
        <v>2.9999999999999997E-4</v>
      </c>
      <c r="F105" s="35">
        <f t="shared" si="1"/>
        <v>0.26</v>
      </c>
      <c r="G105" s="32"/>
    </row>
    <row r="106" spans="1:7">
      <c r="A106" s="34" t="s">
        <v>40</v>
      </c>
      <c r="B106" s="295" t="s">
        <v>104</v>
      </c>
      <c r="C106" s="296"/>
      <c r="D106" s="297"/>
      <c r="E106" s="36">
        <v>0</v>
      </c>
      <c r="F106" s="35">
        <f t="shared" si="1"/>
        <v>0</v>
      </c>
    </row>
    <row r="107" spans="1:7">
      <c r="A107" s="308" t="s">
        <v>81</v>
      </c>
      <c r="B107" s="309"/>
      <c r="C107" s="309"/>
      <c r="D107" s="310"/>
      <c r="E107" s="45">
        <f>SUM(E101:E106)</f>
        <v>0.1409</v>
      </c>
      <c r="F107" s="40">
        <f>SUM(F101:F106)</f>
        <v>123.09</v>
      </c>
    </row>
    <row r="108" spans="1:7">
      <c r="A108" s="34" t="s">
        <v>42</v>
      </c>
      <c r="B108" s="311" t="s">
        <v>348</v>
      </c>
      <c r="C108" s="311"/>
      <c r="D108" s="311"/>
      <c r="E108" s="46">
        <f>E107*E72</f>
        <v>5.1900000000000002E-2</v>
      </c>
      <c r="F108" s="35">
        <f>F107*E72</f>
        <v>45.3</v>
      </c>
    </row>
    <row r="109" spans="1:7">
      <c r="A109" s="277" t="s">
        <v>77</v>
      </c>
      <c r="B109" s="278"/>
      <c r="C109" s="278"/>
      <c r="D109" s="278"/>
      <c r="E109" s="39">
        <f>E107+E108</f>
        <v>0.1928</v>
      </c>
      <c r="F109" s="40">
        <f>SUM(F107:F108)</f>
        <v>168.39</v>
      </c>
    </row>
    <row r="111" spans="1:7">
      <c r="A111" s="306" t="s">
        <v>106</v>
      </c>
      <c r="B111" s="306"/>
      <c r="C111" s="306"/>
      <c r="D111" s="306"/>
      <c r="E111" s="306"/>
      <c r="F111" s="306"/>
    </row>
    <row r="112" spans="1:7">
      <c r="A112" s="47"/>
    </row>
    <row r="113" spans="1:8">
      <c r="A113" s="5">
        <v>4</v>
      </c>
      <c r="B113" s="305" t="s">
        <v>107</v>
      </c>
      <c r="C113" s="305"/>
      <c r="D113" s="305"/>
      <c r="E113" s="305"/>
      <c r="F113" s="17" t="s">
        <v>33</v>
      </c>
    </row>
    <row r="114" spans="1:8">
      <c r="A114" s="3" t="s">
        <v>67</v>
      </c>
      <c r="B114" s="304" t="s">
        <v>108</v>
      </c>
      <c r="C114" s="304"/>
      <c r="D114" s="304"/>
      <c r="E114" s="304"/>
      <c r="F114" s="17">
        <f>F72</f>
        <v>321.49</v>
      </c>
    </row>
    <row r="115" spans="1:8">
      <c r="A115" s="3" t="s">
        <v>79</v>
      </c>
      <c r="B115" s="312" t="s">
        <v>109</v>
      </c>
      <c r="C115" s="312"/>
      <c r="D115" s="312"/>
      <c r="E115" s="312"/>
      <c r="F115" s="17">
        <f>F80</f>
        <v>99.55</v>
      </c>
    </row>
    <row r="116" spans="1:8">
      <c r="A116" s="3" t="s">
        <v>83</v>
      </c>
      <c r="B116" s="304" t="s">
        <v>349</v>
      </c>
      <c r="C116" s="304"/>
      <c r="D116" s="304"/>
      <c r="E116" s="304"/>
      <c r="F116" s="17">
        <f>F85</f>
        <v>0.23</v>
      </c>
    </row>
    <row r="117" spans="1:8">
      <c r="A117" s="3" t="s">
        <v>88</v>
      </c>
      <c r="B117" s="304" t="s">
        <v>111</v>
      </c>
      <c r="C117" s="304"/>
      <c r="D117" s="304"/>
      <c r="E117" s="304"/>
      <c r="F117" s="17">
        <f>F96</f>
        <v>70.790000000000006</v>
      </c>
    </row>
    <row r="118" spans="1:8">
      <c r="A118" s="3" t="s">
        <v>97</v>
      </c>
      <c r="B118" s="304" t="s">
        <v>112</v>
      </c>
      <c r="C118" s="304"/>
      <c r="D118" s="304"/>
      <c r="E118" s="304"/>
      <c r="F118" s="17">
        <f>F109</f>
        <v>168.39</v>
      </c>
    </row>
    <row r="119" spans="1:8">
      <c r="A119" s="3" t="s">
        <v>113</v>
      </c>
      <c r="B119" s="304" t="s">
        <v>55</v>
      </c>
      <c r="C119" s="304"/>
      <c r="D119" s="304"/>
      <c r="E119" s="304"/>
      <c r="F119" s="17"/>
    </row>
    <row r="120" spans="1:8">
      <c r="A120" s="305" t="s">
        <v>77</v>
      </c>
      <c r="B120" s="305"/>
      <c r="C120" s="305"/>
      <c r="D120" s="305"/>
      <c r="E120" s="305"/>
      <c r="F120" s="15">
        <f>SUM(F114:F119)</f>
        <v>660.45</v>
      </c>
    </row>
    <row r="122" spans="1:8">
      <c r="A122" s="306" t="s">
        <v>350</v>
      </c>
      <c r="B122" s="306"/>
      <c r="C122" s="306"/>
      <c r="D122" s="306"/>
      <c r="E122" s="306"/>
      <c r="F122" s="306"/>
      <c r="G122" s="48"/>
    </row>
    <row r="124" spans="1:8">
      <c r="A124" s="5">
        <v>5</v>
      </c>
      <c r="B124" s="305" t="s">
        <v>115</v>
      </c>
      <c r="C124" s="305"/>
      <c r="D124" s="305"/>
      <c r="E124" s="5" t="s">
        <v>32</v>
      </c>
      <c r="F124" s="15" t="s">
        <v>33</v>
      </c>
    </row>
    <row r="125" spans="1:8">
      <c r="A125" s="34" t="s">
        <v>5</v>
      </c>
      <c r="B125" s="307" t="s">
        <v>116</v>
      </c>
      <c r="C125" s="307"/>
      <c r="D125" s="307"/>
      <c r="E125" s="46">
        <v>0.03</v>
      </c>
      <c r="F125" s="35" t="e">
        <f>E125*($G$36+$F$48+$F$57+$F$120)</f>
        <v>#REF!</v>
      </c>
    </row>
    <row r="126" spans="1:8">
      <c r="A126" s="34" t="s">
        <v>7</v>
      </c>
      <c r="B126" s="301" t="s">
        <v>117</v>
      </c>
      <c r="C126" s="302"/>
      <c r="D126" s="302"/>
      <c r="E126" s="49">
        <f>E127+E128+E129</f>
        <v>0.14249999999999999</v>
      </c>
      <c r="F126" s="40" t="e">
        <f>SUM(F127:F129)</f>
        <v>#REF!</v>
      </c>
    </row>
    <row r="127" spans="1:8">
      <c r="A127" s="34" t="s">
        <v>118</v>
      </c>
      <c r="B127" s="295" t="s">
        <v>119</v>
      </c>
      <c r="C127" s="296"/>
      <c r="D127" s="297"/>
      <c r="E127" s="36">
        <v>7.5999999999999998E-2</v>
      </c>
      <c r="F127" s="35" t="e">
        <f>E127*(G36+F48+F57+F120+F125+F131)/(1-E126)</f>
        <v>#REF!</v>
      </c>
      <c r="H127" s="68"/>
    </row>
    <row r="128" spans="1:8">
      <c r="A128" s="34" t="s">
        <v>120</v>
      </c>
      <c r="B128" s="295" t="s">
        <v>121</v>
      </c>
      <c r="C128" s="296"/>
      <c r="D128" s="297"/>
      <c r="E128" s="36">
        <v>1.6500000000000001E-2</v>
      </c>
      <c r="F128" s="35" t="e">
        <f>E128*(G36+F48+F57+F120+F125+F131)/(1-E126)</f>
        <v>#REF!</v>
      </c>
      <c r="H128" s="68"/>
    </row>
    <row r="129" spans="1:9">
      <c r="A129" s="34" t="s">
        <v>122</v>
      </c>
      <c r="B129" s="298" t="s">
        <v>123</v>
      </c>
      <c r="C129" s="299"/>
      <c r="D129" s="300"/>
      <c r="E129" s="36">
        <v>0.05</v>
      </c>
      <c r="F129" s="35" t="e">
        <f>E129*(G36+F48+F57+F120+F125+F131)/(1-E126)</f>
        <v>#REF!</v>
      </c>
      <c r="H129" s="68"/>
    </row>
    <row r="130" spans="1:9">
      <c r="A130" s="34" t="s">
        <v>124</v>
      </c>
      <c r="B130" s="295" t="s">
        <v>125</v>
      </c>
      <c r="C130" s="296"/>
      <c r="D130" s="297"/>
      <c r="E130" s="51"/>
      <c r="F130" s="40"/>
    </row>
    <row r="131" spans="1:9">
      <c r="A131" s="34" t="s">
        <v>10</v>
      </c>
      <c r="B131" s="295" t="s">
        <v>126</v>
      </c>
      <c r="C131" s="296"/>
      <c r="D131" s="297"/>
      <c r="E131" s="46">
        <v>7.0000000000000007E-2</v>
      </c>
      <c r="F131" s="35" t="e">
        <f>E131*($G$36+$F$48+$F$57+$F$120+F125)</f>
        <v>#REF!</v>
      </c>
    </row>
    <row r="132" spans="1:9">
      <c r="A132" s="277" t="s">
        <v>77</v>
      </c>
      <c r="B132" s="278"/>
      <c r="C132" s="278"/>
      <c r="D132" s="278"/>
      <c r="E132" s="279"/>
      <c r="F132" s="40" t="e">
        <f>F125+F126+F131</f>
        <v>#REF!</v>
      </c>
      <c r="G132" s="52"/>
    </row>
    <row r="135" spans="1:9" ht="32.25" customHeight="1">
      <c r="A135" s="301" t="s">
        <v>351</v>
      </c>
      <c r="B135" s="302"/>
      <c r="C135" s="302"/>
      <c r="D135" s="302"/>
      <c r="E135" s="303"/>
      <c r="F135" s="35" t="s">
        <v>33</v>
      </c>
    </row>
    <row r="136" spans="1:9">
      <c r="A136" s="34" t="s">
        <v>5</v>
      </c>
      <c r="B136" s="276" t="s">
        <v>128</v>
      </c>
      <c r="C136" s="276"/>
      <c r="D136" s="276"/>
      <c r="E136" s="276"/>
      <c r="F136" s="35">
        <f>G36</f>
        <v>873.6</v>
      </c>
    </row>
    <row r="137" spans="1:9">
      <c r="A137" s="34" t="s">
        <v>7</v>
      </c>
      <c r="B137" s="276" t="s">
        <v>129</v>
      </c>
      <c r="C137" s="276"/>
      <c r="D137" s="276"/>
      <c r="E137" s="276"/>
      <c r="F137" s="35">
        <f>F48</f>
        <v>634.58000000000004</v>
      </c>
    </row>
    <row r="138" spans="1:9">
      <c r="A138" s="34" t="s">
        <v>10</v>
      </c>
      <c r="B138" s="276" t="s">
        <v>130</v>
      </c>
      <c r="C138" s="276"/>
      <c r="D138" s="276"/>
      <c r="E138" s="276"/>
      <c r="F138" s="35" t="e">
        <f>F57</f>
        <v>#REF!</v>
      </c>
    </row>
    <row r="139" spans="1:9">
      <c r="A139" s="34" t="s">
        <v>13</v>
      </c>
      <c r="B139" s="276" t="s">
        <v>131</v>
      </c>
      <c r="C139" s="276"/>
      <c r="D139" s="276"/>
      <c r="E139" s="276"/>
      <c r="F139" s="35">
        <f>F120</f>
        <v>660.45</v>
      </c>
      <c r="G139" s="52"/>
    </row>
    <row r="140" spans="1:9" ht="16.5" customHeight="1">
      <c r="A140" s="277" t="s">
        <v>81</v>
      </c>
      <c r="B140" s="278"/>
      <c r="C140" s="278"/>
      <c r="D140" s="278"/>
      <c r="E140" s="279"/>
      <c r="F140" s="40" t="e">
        <f>SUM(F136:F139)</f>
        <v>#REF!</v>
      </c>
      <c r="G140" s="52"/>
    </row>
    <row r="141" spans="1:9">
      <c r="A141" s="34" t="s">
        <v>38</v>
      </c>
      <c r="B141" s="276" t="s">
        <v>132</v>
      </c>
      <c r="C141" s="276"/>
      <c r="D141" s="276"/>
      <c r="E141" s="276"/>
      <c r="F141" s="35" t="e">
        <f>F132</f>
        <v>#REF!</v>
      </c>
    </row>
    <row r="142" spans="1:9">
      <c r="A142" s="280" t="s">
        <v>77</v>
      </c>
      <c r="B142" s="280"/>
      <c r="C142" s="280"/>
      <c r="D142" s="280"/>
      <c r="E142" s="280"/>
      <c r="F142" s="53" t="e">
        <f>SUM(F140:F141)</f>
        <v>#REF!</v>
      </c>
      <c r="G142" s="52" t="e">
        <f>(F140+F131+F125)/(1-E126)</f>
        <v>#REF!</v>
      </c>
      <c r="H142" s="52"/>
    </row>
    <row r="143" spans="1:9">
      <c r="D143" s="281" t="s">
        <v>133</v>
      </c>
      <c r="E143" s="281"/>
      <c r="F143" s="54" t="e">
        <f>F142/G36</f>
        <v>#REF!</v>
      </c>
    </row>
    <row r="144" spans="1:9" ht="17.25" customHeight="1">
      <c r="A144" s="69"/>
      <c r="B144" s="69"/>
      <c r="C144" s="69"/>
      <c r="D144" s="69"/>
      <c r="E144" s="69"/>
      <c r="F144" s="69"/>
      <c r="G144" s="69"/>
      <c r="H144" s="69"/>
      <c r="I144" s="70"/>
    </row>
    <row r="145" spans="1:6" ht="28.5" customHeight="1">
      <c r="A145" s="282" t="s">
        <v>134</v>
      </c>
      <c r="B145" s="282"/>
      <c r="C145" s="282"/>
      <c r="D145" s="282"/>
      <c r="E145" s="282"/>
      <c r="F145" s="282"/>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83" t="s">
        <v>137</v>
      </c>
      <c r="B148" s="284"/>
      <c r="C148" s="285"/>
      <c r="D148" s="286">
        <v>8.3299999999999999E-2</v>
      </c>
      <c r="E148" s="287"/>
      <c r="F148" s="288"/>
    </row>
    <row r="149" spans="1:6" ht="16.5" customHeight="1">
      <c r="A149" s="289" t="s">
        <v>138</v>
      </c>
      <c r="B149" s="290"/>
      <c r="C149" s="291"/>
      <c r="D149" s="292">
        <v>0.121</v>
      </c>
      <c r="E149" s="293"/>
      <c r="F149" s="294"/>
    </row>
    <row r="150" spans="1:6" ht="27.75" customHeight="1">
      <c r="A150" s="256" t="s">
        <v>139</v>
      </c>
      <c r="B150" s="257"/>
      <c r="C150" s="258"/>
      <c r="D150" s="259">
        <v>0.05</v>
      </c>
      <c r="E150" s="260"/>
      <c r="F150" s="261"/>
    </row>
    <row r="151" spans="1:6" ht="18.75" customHeight="1">
      <c r="A151" s="262" t="s">
        <v>81</v>
      </c>
      <c r="B151" s="263"/>
      <c r="C151" s="264"/>
      <c r="D151" s="265">
        <v>0.25430000000000003</v>
      </c>
      <c r="E151" s="266"/>
      <c r="F151" s="267"/>
    </row>
    <row r="152" spans="1:6" ht="29.25" customHeight="1">
      <c r="A152" s="268" t="s">
        <v>140</v>
      </c>
      <c r="B152" s="269"/>
      <c r="C152" s="270"/>
      <c r="D152" s="62">
        <v>7.39</v>
      </c>
      <c r="E152" s="63">
        <v>7.6</v>
      </c>
      <c r="F152" s="64">
        <v>7.8200000000000006E-2</v>
      </c>
    </row>
    <row r="153" spans="1:6" ht="25.5" customHeight="1">
      <c r="A153" s="271" t="s">
        <v>141</v>
      </c>
      <c r="B153" s="272"/>
      <c r="C153" s="273"/>
      <c r="D153" s="65">
        <v>32.82</v>
      </c>
      <c r="E153" s="65">
        <v>33.03</v>
      </c>
      <c r="F153" s="66">
        <v>0.33250000000000002</v>
      </c>
    </row>
    <row r="154" spans="1:6" ht="40.5" customHeight="1">
      <c r="A154" s="274" t="s">
        <v>142</v>
      </c>
      <c r="B154" s="274"/>
      <c r="C154" s="274"/>
      <c r="D154" s="274"/>
      <c r="E154" s="274"/>
      <c r="F154" s="274"/>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50" t="s">
        <v>352</v>
      </c>
      <c r="B1" s="350"/>
      <c r="C1" s="350"/>
      <c r="D1" s="350"/>
      <c r="E1" s="350"/>
      <c r="F1" s="350"/>
      <c r="G1" s="350"/>
    </row>
    <row r="3" spans="1:7">
      <c r="B3" s="3" t="s">
        <v>1</v>
      </c>
      <c r="C3" s="351"/>
      <c r="D3" s="351"/>
      <c r="E3" s="351"/>
      <c r="F3" s="351"/>
      <c r="G3" s="351"/>
    </row>
    <row r="4" spans="1:7">
      <c r="B4" s="3" t="s">
        <v>2</v>
      </c>
      <c r="C4" s="351"/>
      <c r="D4" s="351"/>
      <c r="E4" s="351"/>
      <c r="F4" s="351"/>
      <c r="G4" s="351"/>
    </row>
    <row r="5" spans="1:7">
      <c r="B5" s="3" t="s">
        <v>3</v>
      </c>
      <c r="C5" s="351"/>
      <c r="D5" s="351"/>
      <c r="E5" s="351"/>
      <c r="F5" s="351"/>
      <c r="G5" s="351"/>
    </row>
    <row r="7" spans="1:7">
      <c r="A7" s="305" t="s">
        <v>4</v>
      </c>
      <c r="B7" s="305"/>
      <c r="C7" s="305"/>
      <c r="D7" s="305"/>
      <c r="E7" s="305"/>
      <c r="F7" s="305"/>
      <c r="G7" s="305"/>
    </row>
    <row r="8" spans="1:7">
      <c r="A8" s="4" t="s">
        <v>5</v>
      </c>
      <c r="B8" s="327" t="s">
        <v>6</v>
      </c>
      <c r="C8" s="328"/>
      <c r="D8" s="328"/>
      <c r="E8" s="328"/>
      <c r="F8" s="329"/>
      <c r="G8" s="4"/>
    </row>
    <row r="9" spans="1:7">
      <c r="A9" s="4" t="s">
        <v>7</v>
      </c>
      <c r="B9" s="327" t="s">
        <v>8</v>
      </c>
      <c r="C9" s="328"/>
      <c r="D9" s="328"/>
      <c r="E9" s="328"/>
      <c r="F9" s="329"/>
      <c r="G9" s="4" t="s">
        <v>9</v>
      </c>
    </row>
    <row r="10" spans="1:7">
      <c r="A10" s="4" t="s">
        <v>10</v>
      </c>
      <c r="B10" s="327" t="s">
        <v>11</v>
      </c>
      <c r="C10" s="328"/>
      <c r="D10" s="328"/>
      <c r="E10" s="328"/>
      <c r="F10" s="329"/>
      <c r="G10" s="6" t="s">
        <v>12</v>
      </c>
    </row>
    <row r="11" spans="1:7">
      <c r="A11" s="4" t="s">
        <v>13</v>
      </c>
      <c r="B11" s="327" t="s">
        <v>14</v>
      </c>
      <c r="C11" s="328"/>
      <c r="D11" s="328"/>
      <c r="E11" s="328"/>
      <c r="F11" s="329"/>
      <c r="G11" s="4">
        <v>12</v>
      </c>
    </row>
    <row r="12" spans="1:7">
      <c r="G12" s="7"/>
    </row>
    <row r="13" spans="1:7">
      <c r="A13" s="326" t="s">
        <v>15</v>
      </c>
      <c r="B13" s="326"/>
      <c r="C13" s="326"/>
      <c r="D13" s="326"/>
      <c r="E13" s="326"/>
      <c r="F13" s="326"/>
      <c r="G13" s="326"/>
    </row>
    <row r="14" spans="1:7" ht="15" customHeight="1">
      <c r="A14" s="321" t="s">
        <v>16</v>
      </c>
      <c r="B14" s="322"/>
      <c r="C14" s="323"/>
      <c r="D14" s="321" t="s">
        <v>17</v>
      </c>
      <c r="E14" s="323"/>
      <c r="F14" s="305" t="s">
        <v>18</v>
      </c>
      <c r="G14" s="305"/>
    </row>
    <row r="15" spans="1:7" ht="36" customHeight="1">
      <c r="A15" s="519" t="s">
        <v>353</v>
      </c>
      <c r="B15" s="520"/>
      <c r="C15" s="521"/>
      <c r="D15" s="522" t="s">
        <v>341</v>
      </c>
      <c r="E15" s="523"/>
      <c r="F15" s="524" t="s">
        <v>354</v>
      </c>
      <c r="G15" s="525"/>
    </row>
    <row r="17" spans="1:7">
      <c r="A17" s="306" t="s">
        <v>21</v>
      </c>
      <c r="B17" s="306"/>
      <c r="C17" s="306"/>
      <c r="D17" s="306"/>
      <c r="E17" s="306"/>
      <c r="F17" s="306"/>
      <c r="G17" s="306"/>
    </row>
    <row r="18" spans="1:7">
      <c r="B18" s="10"/>
      <c r="C18" s="10"/>
      <c r="D18" s="10"/>
      <c r="E18" s="10"/>
      <c r="F18" s="11"/>
      <c r="G18" s="10"/>
    </row>
    <row r="19" spans="1:7">
      <c r="A19" s="305" t="s">
        <v>22</v>
      </c>
      <c r="B19" s="305"/>
      <c r="C19" s="305"/>
      <c r="D19" s="305"/>
      <c r="E19" s="305"/>
      <c r="F19" s="305"/>
      <c r="G19" s="305"/>
    </row>
    <row r="20" spans="1:7">
      <c r="A20" s="4">
        <v>1</v>
      </c>
      <c r="B20" s="347" t="s">
        <v>23</v>
      </c>
      <c r="C20" s="348"/>
      <c r="D20" s="348"/>
      <c r="E20" s="349"/>
      <c r="F20" s="321" t="s">
        <v>355</v>
      </c>
      <c r="G20" s="323"/>
    </row>
    <row r="21" spans="1:7">
      <c r="A21" s="4">
        <v>2</v>
      </c>
      <c r="B21" s="327" t="s">
        <v>25</v>
      </c>
      <c r="C21" s="328"/>
      <c r="D21" s="328"/>
      <c r="E21" s="329"/>
      <c r="F21" s="335">
        <v>1035.75</v>
      </c>
      <c r="G21" s="336"/>
    </row>
    <row r="22" spans="1:7">
      <c r="A22" s="4">
        <v>3</v>
      </c>
      <c r="B22" s="327" t="s">
        <v>26</v>
      </c>
      <c r="C22" s="328"/>
      <c r="D22" s="328"/>
      <c r="E22" s="329"/>
      <c r="F22" s="337" t="s">
        <v>27</v>
      </c>
      <c r="G22" s="338"/>
    </row>
    <row r="23" spans="1:7">
      <c r="A23" s="4">
        <v>4</v>
      </c>
      <c r="B23" s="327" t="s">
        <v>28</v>
      </c>
      <c r="C23" s="328"/>
      <c r="D23" s="328"/>
      <c r="E23" s="329"/>
      <c r="F23" s="339" t="s">
        <v>29</v>
      </c>
      <c r="G23" s="340"/>
    </row>
    <row r="24" spans="1:7">
      <c r="A24" s="10"/>
      <c r="B24" s="12"/>
      <c r="C24" s="12"/>
      <c r="D24" s="12"/>
      <c r="E24" s="12"/>
      <c r="F24" s="11"/>
      <c r="G24" s="13"/>
    </row>
    <row r="25" spans="1:7">
      <c r="A25" s="10"/>
      <c r="B25" s="316" t="s">
        <v>30</v>
      </c>
      <c r="C25" s="316"/>
      <c r="D25" s="316"/>
      <c r="E25" s="316"/>
      <c r="F25" s="316"/>
      <c r="G25" s="316"/>
    </row>
    <row r="27" spans="1:7">
      <c r="B27" s="4">
        <v>1</v>
      </c>
      <c r="C27" s="305" t="s">
        <v>31</v>
      </c>
      <c r="D27" s="305"/>
      <c r="E27" s="305"/>
      <c r="F27" s="15" t="s">
        <v>32</v>
      </c>
      <c r="G27" s="16" t="s">
        <v>33</v>
      </c>
    </row>
    <row r="28" spans="1:7">
      <c r="B28" s="4" t="s">
        <v>5</v>
      </c>
      <c r="C28" s="304" t="s">
        <v>34</v>
      </c>
      <c r="D28" s="304"/>
      <c r="E28" s="304"/>
      <c r="F28" s="17">
        <v>100</v>
      </c>
      <c r="G28" s="18">
        <v>1035.75</v>
      </c>
    </row>
    <row r="29" spans="1:7">
      <c r="B29" s="4" t="s">
        <v>7</v>
      </c>
      <c r="C29" s="304" t="s">
        <v>35</v>
      </c>
      <c r="D29" s="304"/>
      <c r="E29" s="304"/>
      <c r="F29" s="19">
        <v>0.3</v>
      </c>
      <c r="G29" s="17">
        <f>F29*G28</f>
        <v>310.73</v>
      </c>
    </row>
    <row r="30" spans="1:7">
      <c r="B30" s="4" t="s">
        <v>10</v>
      </c>
      <c r="C30" s="304" t="s">
        <v>36</v>
      </c>
      <c r="D30" s="304"/>
      <c r="E30" s="304"/>
      <c r="F30" s="19"/>
      <c r="G30" s="17">
        <v>0</v>
      </c>
    </row>
    <row r="31" spans="1:7">
      <c r="B31" s="4" t="s">
        <v>13</v>
      </c>
      <c r="C31" s="304" t="s">
        <v>37</v>
      </c>
      <c r="D31" s="304"/>
      <c r="E31" s="304"/>
      <c r="F31" s="19"/>
      <c r="G31" s="17">
        <v>0</v>
      </c>
    </row>
    <row r="32" spans="1:7">
      <c r="B32" s="4" t="s">
        <v>38</v>
      </c>
      <c r="C32" s="304" t="s">
        <v>39</v>
      </c>
      <c r="D32" s="304"/>
      <c r="E32" s="304"/>
      <c r="F32" s="19"/>
      <c r="G32" s="17">
        <v>0</v>
      </c>
    </row>
    <row r="33" spans="1:7">
      <c r="B33" s="4" t="s">
        <v>40</v>
      </c>
      <c r="C33" s="304" t="s">
        <v>41</v>
      </c>
      <c r="D33" s="304"/>
      <c r="E33" s="304"/>
      <c r="F33" s="19"/>
      <c r="G33" s="17">
        <v>0</v>
      </c>
    </row>
    <row r="34" spans="1:7">
      <c r="B34" s="4" t="s">
        <v>42</v>
      </c>
      <c r="C34" s="304" t="s">
        <v>43</v>
      </c>
      <c r="D34" s="304"/>
      <c r="E34" s="304"/>
      <c r="F34" s="19"/>
      <c r="G34" s="17">
        <v>0</v>
      </c>
    </row>
    <row r="35" spans="1:7">
      <c r="B35" s="4" t="s">
        <v>44</v>
      </c>
      <c r="C35" s="304" t="s">
        <v>45</v>
      </c>
      <c r="D35" s="304"/>
      <c r="E35" s="304"/>
      <c r="F35" s="19"/>
      <c r="G35" s="17">
        <f>F35*G28</f>
        <v>0</v>
      </c>
    </row>
    <row r="36" spans="1:7">
      <c r="B36" s="321" t="s">
        <v>46</v>
      </c>
      <c r="C36" s="322"/>
      <c r="D36" s="322"/>
      <c r="E36" s="322"/>
      <c r="F36" s="323"/>
      <c r="G36" s="15">
        <f>SUM(G28:G35)</f>
        <v>1346.48</v>
      </c>
    </row>
    <row r="38" spans="1:7" ht="15.75" customHeight="1">
      <c r="A38" s="331" t="s">
        <v>47</v>
      </c>
      <c r="B38" s="331"/>
      <c r="C38" s="331"/>
      <c r="D38" s="331"/>
      <c r="E38" s="331"/>
      <c r="F38" s="331"/>
      <c r="G38" s="10"/>
    </row>
    <row r="40" spans="1:7" ht="15.75" customHeight="1">
      <c r="A40" s="4">
        <v>2</v>
      </c>
      <c r="B40" s="321" t="s">
        <v>48</v>
      </c>
      <c r="C40" s="322"/>
      <c r="D40" s="322"/>
      <c r="E40" s="323"/>
      <c r="F40" s="15" t="s">
        <v>33</v>
      </c>
    </row>
    <row r="41" spans="1:7" ht="15.75" customHeight="1">
      <c r="A41" s="4" t="s">
        <v>5</v>
      </c>
      <c r="B41" s="327" t="s">
        <v>49</v>
      </c>
      <c r="C41" s="328"/>
      <c r="D41" s="20">
        <v>12</v>
      </c>
      <c r="E41" s="21">
        <v>6</v>
      </c>
      <c r="F41" s="22">
        <f>E41*22-(G28*6%)</f>
        <v>69.86</v>
      </c>
    </row>
    <row r="42" spans="1:7">
      <c r="A42" s="4" t="s">
        <v>7</v>
      </c>
      <c r="B42" s="327" t="s">
        <v>50</v>
      </c>
      <c r="C42" s="328"/>
      <c r="D42" s="20"/>
      <c r="E42" s="21">
        <v>20</v>
      </c>
      <c r="F42" s="23">
        <f>E42*22</f>
        <v>440</v>
      </c>
      <c r="G42" s="24"/>
    </row>
    <row r="43" spans="1:7">
      <c r="A43" s="4" t="s">
        <v>10</v>
      </c>
      <c r="B43" s="327" t="s">
        <v>51</v>
      </c>
      <c r="C43" s="328"/>
      <c r="D43" s="328"/>
      <c r="E43" s="329"/>
      <c r="F43" s="25">
        <v>150</v>
      </c>
      <c r="G43" s="24"/>
    </row>
    <row r="44" spans="1:7">
      <c r="A44" s="4" t="s">
        <v>13</v>
      </c>
      <c r="B44" s="327" t="s">
        <v>52</v>
      </c>
      <c r="C44" s="328"/>
      <c r="D44" s="328"/>
      <c r="E44" s="329"/>
      <c r="F44" s="26">
        <v>0</v>
      </c>
      <c r="G44" s="24"/>
    </row>
    <row r="45" spans="1:7">
      <c r="A45" s="4" t="s">
        <v>38</v>
      </c>
      <c r="B45" s="327" t="s">
        <v>53</v>
      </c>
      <c r="C45" s="328"/>
      <c r="D45" s="328"/>
      <c r="E45" s="329"/>
      <c r="F45" s="23">
        <v>2.5</v>
      </c>
      <c r="G45" s="24"/>
    </row>
    <row r="46" spans="1:7">
      <c r="A46" s="4" t="s">
        <v>42</v>
      </c>
      <c r="B46" s="327" t="s">
        <v>54</v>
      </c>
      <c r="C46" s="328"/>
      <c r="D46" s="328"/>
      <c r="E46" s="329"/>
      <c r="F46" s="23">
        <v>4.5</v>
      </c>
      <c r="G46" s="24"/>
    </row>
    <row r="47" spans="1:7">
      <c r="A47" s="4" t="s">
        <v>44</v>
      </c>
      <c r="B47" s="332" t="s">
        <v>55</v>
      </c>
      <c r="C47" s="333"/>
      <c r="D47" s="333"/>
      <c r="E47" s="334"/>
      <c r="F47" s="25">
        <v>0</v>
      </c>
      <c r="G47" s="24"/>
    </row>
    <row r="48" spans="1:7">
      <c r="A48" s="305" t="s">
        <v>56</v>
      </c>
      <c r="B48" s="305"/>
      <c r="C48" s="305"/>
      <c r="D48" s="305"/>
      <c r="E48" s="305"/>
      <c r="F48" s="27">
        <f>SUM(F41:F47)</f>
        <v>666.86</v>
      </c>
      <c r="G48" s="24"/>
    </row>
    <row r="49" spans="1:7">
      <c r="G49" s="24"/>
    </row>
    <row r="50" spans="1:7" ht="15.75" customHeight="1">
      <c r="A50" s="331" t="s">
        <v>57</v>
      </c>
      <c r="B50" s="331"/>
      <c r="C50" s="331"/>
      <c r="D50" s="331"/>
      <c r="E50" s="331"/>
      <c r="F50" s="331"/>
      <c r="G50" s="24"/>
    </row>
    <row r="51" spans="1:7">
      <c r="G51" s="24"/>
    </row>
    <row r="52" spans="1:7">
      <c r="A52" s="4">
        <v>3</v>
      </c>
      <c r="B52" s="305" t="s">
        <v>58</v>
      </c>
      <c r="C52" s="305"/>
      <c r="D52" s="305"/>
      <c r="E52" s="305"/>
      <c r="F52" s="15" t="s">
        <v>33</v>
      </c>
      <c r="G52" s="7"/>
    </row>
    <row r="53" spans="1:7">
      <c r="A53" s="4" t="s">
        <v>5</v>
      </c>
      <c r="B53" s="304" t="s">
        <v>213</v>
      </c>
      <c r="C53" s="304"/>
      <c r="D53" s="304"/>
      <c r="E53" s="304"/>
      <c r="F53" s="22" t="e">
        <f>#REF!</f>
        <v>#REF!</v>
      </c>
      <c r="G53" s="10"/>
    </row>
    <row r="54" spans="1:7">
      <c r="A54" s="4" t="s">
        <v>7</v>
      </c>
      <c r="B54" s="327" t="s">
        <v>60</v>
      </c>
      <c r="C54" s="328"/>
      <c r="D54" s="328"/>
      <c r="E54" s="329"/>
      <c r="F54" s="17">
        <v>0</v>
      </c>
      <c r="G54" s="12"/>
    </row>
    <row r="55" spans="1:7">
      <c r="A55" s="4" t="s">
        <v>10</v>
      </c>
      <c r="B55" s="304" t="s">
        <v>61</v>
      </c>
      <c r="C55" s="304"/>
      <c r="D55" s="304"/>
      <c r="E55" s="304"/>
      <c r="F55" s="22">
        <v>23.4</v>
      </c>
      <c r="G55" s="12"/>
    </row>
    <row r="56" spans="1:7">
      <c r="A56" s="4" t="s">
        <v>13</v>
      </c>
      <c r="B56" s="304" t="s">
        <v>62</v>
      </c>
      <c r="C56" s="304"/>
      <c r="D56" s="304"/>
      <c r="E56" s="304"/>
      <c r="F56" s="17">
        <v>0</v>
      </c>
      <c r="G56" s="10"/>
    </row>
    <row r="57" spans="1:7">
      <c r="A57" s="305" t="s">
        <v>63</v>
      </c>
      <c r="B57" s="305"/>
      <c r="C57" s="305"/>
      <c r="D57" s="305"/>
      <c r="E57" s="305"/>
      <c r="F57" s="15" t="e">
        <f>SUM(F53:F56)</f>
        <v>#REF!</v>
      </c>
      <c r="G57" s="12"/>
    </row>
    <row r="58" spans="1:7">
      <c r="G58" s="10"/>
    </row>
    <row r="59" spans="1:7">
      <c r="A59" s="306" t="s">
        <v>64</v>
      </c>
      <c r="B59" s="306"/>
      <c r="C59" s="306"/>
      <c r="D59" s="306"/>
      <c r="E59" s="306"/>
      <c r="F59" s="306"/>
    </row>
    <row r="60" spans="1:7">
      <c r="A60" s="9"/>
      <c r="B60" s="9"/>
      <c r="C60" s="9"/>
      <c r="D60" s="9"/>
      <c r="E60" s="9"/>
      <c r="F60" s="9"/>
    </row>
    <row r="61" spans="1:7">
      <c r="A61" s="9"/>
      <c r="B61" s="306" t="s">
        <v>65</v>
      </c>
      <c r="C61" s="306"/>
      <c r="D61" s="306"/>
      <c r="E61" s="306"/>
      <c r="F61" s="306"/>
    </row>
    <row r="62" spans="1:7">
      <c r="B62" s="1" t="s">
        <v>66</v>
      </c>
    </row>
    <row r="63" spans="1:7">
      <c r="A63" s="5" t="s">
        <v>67</v>
      </c>
      <c r="B63" s="305" t="s">
        <v>68</v>
      </c>
      <c r="C63" s="305"/>
      <c r="D63" s="305"/>
      <c r="E63" s="5" t="s">
        <v>32</v>
      </c>
      <c r="F63" s="15" t="s">
        <v>33</v>
      </c>
    </row>
    <row r="64" spans="1:7">
      <c r="A64" s="4" t="s">
        <v>5</v>
      </c>
      <c r="B64" s="304" t="s">
        <v>69</v>
      </c>
      <c r="C64" s="304"/>
      <c r="D64" s="304"/>
      <c r="E64" s="28">
        <v>0.2</v>
      </c>
      <c r="F64" s="17">
        <f t="shared" ref="F64:F71" si="0">E64*$G$36</f>
        <v>269.3</v>
      </c>
      <c r="G64" s="275"/>
    </row>
    <row r="65" spans="1:9">
      <c r="A65" s="4" t="s">
        <v>7</v>
      </c>
      <c r="B65" s="304" t="s">
        <v>70</v>
      </c>
      <c r="C65" s="304"/>
      <c r="D65" s="304"/>
      <c r="E65" s="28">
        <v>1.4999999999999999E-2</v>
      </c>
      <c r="F65" s="17">
        <f t="shared" si="0"/>
        <v>20.2</v>
      </c>
      <c r="G65" s="275"/>
    </row>
    <row r="66" spans="1:9">
      <c r="A66" s="4" t="s">
        <v>10</v>
      </c>
      <c r="B66" s="304" t="s">
        <v>71</v>
      </c>
      <c r="C66" s="304"/>
      <c r="D66" s="304"/>
      <c r="E66" s="28">
        <v>0.01</v>
      </c>
      <c r="F66" s="17">
        <f t="shared" si="0"/>
        <v>13.46</v>
      </c>
      <c r="G66" s="275"/>
    </row>
    <row r="67" spans="1:9">
      <c r="A67" s="4" t="s">
        <v>13</v>
      </c>
      <c r="B67" s="304" t="s">
        <v>72</v>
      </c>
      <c r="C67" s="304"/>
      <c r="D67" s="304"/>
      <c r="E67" s="28">
        <v>2E-3</v>
      </c>
      <c r="F67" s="17">
        <f t="shared" si="0"/>
        <v>2.69</v>
      </c>
      <c r="G67" s="275"/>
    </row>
    <row r="68" spans="1:9">
      <c r="A68" s="4" t="s">
        <v>38</v>
      </c>
      <c r="B68" s="304" t="s">
        <v>73</v>
      </c>
      <c r="C68" s="304"/>
      <c r="D68" s="304"/>
      <c r="E68" s="28">
        <v>2.5000000000000001E-2</v>
      </c>
      <c r="F68" s="17">
        <f t="shared" si="0"/>
        <v>33.659999999999997</v>
      </c>
      <c r="G68" s="275"/>
    </row>
    <row r="69" spans="1:9">
      <c r="A69" s="4" t="s">
        <v>40</v>
      </c>
      <c r="B69" s="304" t="s">
        <v>74</v>
      </c>
      <c r="C69" s="304"/>
      <c r="D69" s="304"/>
      <c r="E69" s="28">
        <v>0.08</v>
      </c>
      <c r="F69" s="17">
        <f t="shared" si="0"/>
        <v>107.72</v>
      </c>
      <c r="G69" s="275"/>
    </row>
    <row r="70" spans="1:9" ht="13.5">
      <c r="A70" s="4" t="s">
        <v>42</v>
      </c>
      <c r="B70" s="518" t="s">
        <v>356</v>
      </c>
      <c r="C70" s="518"/>
      <c r="D70" s="518"/>
      <c r="E70" s="28">
        <v>0.03</v>
      </c>
      <c r="F70" s="17">
        <f t="shared" si="0"/>
        <v>40.39</v>
      </c>
      <c r="G70" s="275"/>
    </row>
    <row r="71" spans="1:9">
      <c r="A71" s="4" t="s">
        <v>44</v>
      </c>
      <c r="B71" s="304" t="s">
        <v>76</v>
      </c>
      <c r="C71" s="304"/>
      <c r="D71" s="304"/>
      <c r="E71" s="28">
        <v>6.0000000000000001E-3</v>
      </c>
      <c r="F71" s="17">
        <f t="shared" si="0"/>
        <v>8.08</v>
      </c>
      <c r="G71" s="275"/>
    </row>
    <row r="72" spans="1:9">
      <c r="A72" s="305" t="s">
        <v>77</v>
      </c>
      <c r="B72" s="305"/>
      <c r="C72" s="305"/>
      <c r="D72" s="305"/>
      <c r="E72" s="29">
        <f>SUM(E64:E71)</f>
        <v>0.36799999999999999</v>
      </c>
      <c r="F72" s="15">
        <f>SUM(F64:F71)</f>
        <v>495.5</v>
      </c>
    </row>
    <row r="73" spans="1:9">
      <c r="A73" s="14"/>
      <c r="B73" s="14"/>
      <c r="C73" s="14"/>
      <c r="D73" s="14"/>
      <c r="E73" s="30"/>
      <c r="F73" s="31"/>
    </row>
    <row r="74" spans="1:9">
      <c r="A74" s="316" t="s">
        <v>78</v>
      </c>
      <c r="B74" s="316"/>
      <c r="C74" s="316"/>
      <c r="D74" s="316"/>
      <c r="E74" s="316"/>
      <c r="F74" s="316"/>
    </row>
    <row r="75" spans="1:9">
      <c r="B75" s="10"/>
      <c r="C75" s="10"/>
      <c r="D75" s="10"/>
      <c r="E75" s="32"/>
    </row>
    <row r="76" spans="1:9">
      <c r="A76" s="5" t="s">
        <v>79</v>
      </c>
      <c r="B76" s="305" t="s">
        <v>357</v>
      </c>
      <c r="C76" s="305"/>
      <c r="D76" s="305"/>
      <c r="E76" s="5" t="s">
        <v>32</v>
      </c>
      <c r="F76" s="15" t="s">
        <v>33</v>
      </c>
    </row>
    <row r="77" spans="1:9">
      <c r="A77" s="4" t="s">
        <v>5</v>
      </c>
      <c r="B77" s="304" t="s">
        <v>80</v>
      </c>
      <c r="C77" s="304"/>
      <c r="D77" s="304"/>
      <c r="E77" s="28">
        <v>8.3299999999999999E-2</v>
      </c>
      <c r="F77" s="17">
        <f>E77*$G$36</f>
        <v>112.16</v>
      </c>
      <c r="G77" s="33"/>
    </row>
    <row r="78" spans="1:9">
      <c r="A78" s="305" t="s">
        <v>81</v>
      </c>
      <c r="B78" s="305"/>
      <c r="C78" s="305"/>
      <c r="D78" s="305"/>
      <c r="E78" s="29">
        <f>E77</f>
        <v>8.3299999999999999E-2</v>
      </c>
      <c r="F78" s="15">
        <f>SUM(F77:F77)</f>
        <v>112.16</v>
      </c>
    </row>
    <row r="79" spans="1:9">
      <c r="A79" s="34" t="s">
        <v>7</v>
      </c>
      <c r="B79" s="311" t="s">
        <v>358</v>
      </c>
      <c r="C79" s="311"/>
      <c r="D79" s="311"/>
      <c r="E79" s="28">
        <f>E72*E77</f>
        <v>3.0700000000000002E-2</v>
      </c>
      <c r="F79" s="35">
        <f>F78*E72</f>
        <v>41.27</v>
      </c>
      <c r="G79" s="33"/>
      <c r="H79" s="33"/>
      <c r="I79" s="33"/>
    </row>
    <row r="80" spans="1:9">
      <c r="A80" s="321" t="s">
        <v>77</v>
      </c>
      <c r="B80" s="322"/>
      <c r="C80" s="322"/>
      <c r="D80" s="322"/>
      <c r="E80" s="29">
        <f>SUM(E78:E79)</f>
        <v>0.114</v>
      </c>
      <c r="F80" s="15">
        <f>SUM(F78:F79)</f>
        <v>153.43</v>
      </c>
      <c r="G80" s="33"/>
    </row>
    <row r="81" spans="1:8">
      <c r="B81" s="10"/>
      <c r="C81" s="10"/>
      <c r="D81" s="10"/>
      <c r="E81" s="32"/>
    </row>
    <row r="82" spans="1:8">
      <c r="A82" s="5" t="s">
        <v>83</v>
      </c>
      <c r="B82" s="321" t="s">
        <v>359</v>
      </c>
      <c r="C82" s="322"/>
      <c r="D82" s="323"/>
      <c r="E82" s="5" t="s">
        <v>32</v>
      </c>
      <c r="F82" s="15" t="s">
        <v>33</v>
      </c>
    </row>
    <row r="83" spans="1:8">
      <c r="A83" s="4" t="s">
        <v>5</v>
      </c>
      <c r="B83" s="327" t="s">
        <v>360</v>
      </c>
      <c r="C83" s="328"/>
      <c r="D83" s="329"/>
      <c r="E83" s="28">
        <v>2.0000000000000001E-4</v>
      </c>
      <c r="F83" s="17">
        <f>E83*$G$36</f>
        <v>0.27</v>
      </c>
    </row>
    <row r="84" spans="1:8" ht="32.25" customHeight="1">
      <c r="A84" s="34" t="s">
        <v>7</v>
      </c>
      <c r="B84" s="311" t="s">
        <v>361</v>
      </c>
      <c r="C84" s="311"/>
      <c r="D84" s="311"/>
      <c r="E84" s="36">
        <f>E83*E72</f>
        <v>1E-4</v>
      </c>
      <c r="F84" s="35">
        <f>F83*E72</f>
        <v>0.1</v>
      </c>
    </row>
    <row r="85" spans="1:8">
      <c r="A85" s="347" t="s">
        <v>77</v>
      </c>
      <c r="B85" s="348"/>
      <c r="C85" s="348"/>
      <c r="D85" s="348"/>
      <c r="E85" s="29">
        <f>SUM(E83:E84)</f>
        <v>2.9999999999999997E-4</v>
      </c>
      <c r="F85" s="15">
        <f>SUM(F83:F84)</f>
        <v>0.37</v>
      </c>
    </row>
    <row r="87" spans="1:8">
      <c r="A87" s="316" t="s">
        <v>87</v>
      </c>
      <c r="B87" s="316"/>
      <c r="C87" s="316"/>
      <c r="D87" s="316"/>
      <c r="E87" s="316"/>
      <c r="F87" s="316"/>
    </row>
    <row r="88" spans="1:8">
      <c r="G88" s="37"/>
    </row>
    <row r="89" spans="1:8">
      <c r="A89" s="5" t="s">
        <v>88</v>
      </c>
      <c r="B89" s="305" t="s">
        <v>89</v>
      </c>
      <c r="C89" s="305"/>
      <c r="D89" s="305"/>
      <c r="E89" s="5" t="s">
        <v>32</v>
      </c>
      <c r="F89" s="15" t="s">
        <v>33</v>
      </c>
    </row>
    <row r="90" spans="1:8">
      <c r="A90" s="34" t="s">
        <v>5</v>
      </c>
      <c r="B90" s="276" t="s">
        <v>90</v>
      </c>
      <c r="C90" s="276"/>
      <c r="D90" s="276"/>
      <c r="E90" s="36">
        <v>4.1999999999999997E-3</v>
      </c>
      <c r="F90" s="35">
        <f>E90*$G$36</f>
        <v>5.66</v>
      </c>
      <c r="G90" s="33"/>
      <c r="H90" s="33"/>
    </row>
    <row r="91" spans="1:8">
      <c r="A91" s="34" t="s">
        <v>7</v>
      </c>
      <c r="B91" s="311" t="s">
        <v>91</v>
      </c>
      <c r="C91" s="311"/>
      <c r="D91" s="311"/>
      <c r="E91" s="36">
        <v>2.9999999999999997E-4</v>
      </c>
      <c r="F91" s="35">
        <f>F90*E69</f>
        <v>0.45</v>
      </c>
      <c r="G91" s="10"/>
    </row>
    <row r="92" spans="1:8" ht="12.75" customHeight="1">
      <c r="A92" s="34" t="s">
        <v>10</v>
      </c>
      <c r="B92" s="324" t="s">
        <v>92</v>
      </c>
      <c r="C92" s="324"/>
      <c r="D92" s="324"/>
      <c r="E92" s="36">
        <v>4.3499999999999997E-2</v>
      </c>
      <c r="F92" s="35">
        <f>E92*$G$36</f>
        <v>58.57</v>
      </c>
      <c r="G92" s="10"/>
    </row>
    <row r="93" spans="1:8">
      <c r="A93" s="34" t="s">
        <v>13</v>
      </c>
      <c r="B93" s="311" t="s">
        <v>93</v>
      </c>
      <c r="C93" s="311"/>
      <c r="D93" s="311"/>
      <c r="E93" s="36">
        <v>1.9400000000000001E-2</v>
      </c>
      <c r="F93" s="35">
        <f>E93*$G$36</f>
        <v>26.12</v>
      </c>
      <c r="G93" s="7"/>
    </row>
    <row r="94" spans="1:8">
      <c r="A94" s="34" t="s">
        <v>40</v>
      </c>
      <c r="B94" s="311" t="s">
        <v>94</v>
      </c>
      <c r="C94" s="311"/>
      <c r="D94" s="311"/>
      <c r="E94" s="36">
        <f>E93*E72</f>
        <v>7.1000000000000004E-3</v>
      </c>
      <c r="F94" s="35">
        <f>E94*$G$36</f>
        <v>9.56</v>
      </c>
      <c r="G94" s="7"/>
    </row>
    <row r="95" spans="1:8" ht="12.75" customHeight="1">
      <c r="A95" s="34" t="s">
        <v>42</v>
      </c>
      <c r="B95" s="313" t="s">
        <v>95</v>
      </c>
      <c r="C95" s="314"/>
      <c r="D95" s="315"/>
      <c r="E95" s="38">
        <v>6.4999999999999997E-3</v>
      </c>
      <c r="F95" s="35">
        <f>E95*$G$36</f>
        <v>8.75</v>
      </c>
      <c r="G95" s="7"/>
    </row>
    <row r="96" spans="1:8">
      <c r="A96" s="277" t="s">
        <v>77</v>
      </c>
      <c r="B96" s="278"/>
      <c r="C96" s="278"/>
      <c r="D96" s="279"/>
      <c r="E96" s="39">
        <f>SUM(E90:E95)</f>
        <v>8.1000000000000003E-2</v>
      </c>
      <c r="F96" s="40">
        <f>SUM(F90:F95)</f>
        <v>109.11</v>
      </c>
      <c r="G96" s="10"/>
    </row>
    <row r="98" spans="1:7">
      <c r="A98" s="316" t="s">
        <v>96</v>
      </c>
      <c r="B98" s="316"/>
      <c r="C98" s="316"/>
      <c r="D98" s="316"/>
      <c r="E98" s="316"/>
      <c r="F98" s="316"/>
    </row>
    <row r="100" spans="1:7" ht="30.75" customHeight="1">
      <c r="A100" s="41" t="s">
        <v>97</v>
      </c>
      <c r="B100" s="317" t="s">
        <v>98</v>
      </c>
      <c r="C100" s="318"/>
      <c r="D100" s="319"/>
      <c r="E100" s="41" t="s">
        <v>32</v>
      </c>
      <c r="F100" s="40" t="s">
        <v>33</v>
      </c>
    </row>
    <row r="101" spans="1:7" ht="13.5">
      <c r="A101" s="34" t="s">
        <v>5</v>
      </c>
      <c r="B101" s="517" t="s">
        <v>99</v>
      </c>
      <c r="C101" s="517"/>
      <c r="D101" s="517"/>
      <c r="E101" s="42">
        <v>0.121</v>
      </c>
      <c r="F101" s="35">
        <f t="shared" ref="F101:F106" si="1">E101*$G$36</f>
        <v>162.91999999999999</v>
      </c>
      <c r="G101" s="43"/>
    </row>
    <row r="102" spans="1:7">
      <c r="A102" s="34" t="s">
        <v>7</v>
      </c>
      <c r="B102" s="311" t="s">
        <v>100</v>
      </c>
      <c r="C102" s="311"/>
      <c r="D102" s="311"/>
      <c r="E102" s="38">
        <v>1.66E-2</v>
      </c>
      <c r="F102" s="35">
        <f t="shared" si="1"/>
        <v>22.35</v>
      </c>
    </row>
    <row r="103" spans="1:7">
      <c r="A103" s="34" t="s">
        <v>10</v>
      </c>
      <c r="B103" s="295" t="s">
        <v>101</v>
      </c>
      <c r="C103" s="296"/>
      <c r="D103" s="297"/>
      <c r="E103" s="36">
        <v>2.0000000000000001E-4</v>
      </c>
      <c r="F103" s="35">
        <f t="shared" si="1"/>
        <v>0.27</v>
      </c>
    </row>
    <row r="104" spans="1:7">
      <c r="A104" s="34" t="s">
        <v>13</v>
      </c>
      <c r="B104" s="295" t="s">
        <v>102</v>
      </c>
      <c r="C104" s="296"/>
      <c r="D104" s="297"/>
      <c r="E104" s="38">
        <v>2.8E-3</v>
      </c>
      <c r="F104" s="35">
        <f t="shared" si="1"/>
        <v>3.77</v>
      </c>
      <c r="G104" s="32"/>
    </row>
    <row r="105" spans="1:7">
      <c r="A105" s="34" t="s">
        <v>38</v>
      </c>
      <c r="B105" s="311" t="s">
        <v>103</v>
      </c>
      <c r="C105" s="311"/>
      <c r="D105" s="311"/>
      <c r="E105" s="38">
        <v>2.9999999999999997E-4</v>
      </c>
      <c r="F105" s="35">
        <f t="shared" si="1"/>
        <v>0.4</v>
      </c>
      <c r="G105" s="32"/>
    </row>
    <row r="106" spans="1:7">
      <c r="A106" s="34" t="s">
        <v>40</v>
      </c>
      <c r="B106" s="295" t="s">
        <v>104</v>
      </c>
      <c r="C106" s="296"/>
      <c r="D106" s="297"/>
      <c r="E106" s="44">
        <v>0</v>
      </c>
      <c r="F106" s="35">
        <f t="shared" si="1"/>
        <v>0</v>
      </c>
    </row>
    <row r="107" spans="1:7">
      <c r="A107" s="277" t="s">
        <v>81</v>
      </c>
      <c r="B107" s="278"/>
      <c r="C107" s="278"/>
      <c r="D107" s="279"/>
      <c r="E107" s="45">
        <f>SUM(E101:E106)</f>
        <v>0.1409</v>
      </c>
      <c r="F107" s="40">
        <f>SUM(F101:F106)</f>
        <v>189.71</v>
      </c>
    </row>
    <row r="108" spans="1:7">
      <c r="A108" s="34" t="s">
        <v>42</v>
      </c>
      <c r="B108" s="311" t="s">
        <v>348</v>
      </c>
      <c r="C108" s="311"/>
      <c r="D108" s="311"/>
      <c r="E108" s="46">
        <f>E107*E72</f>
        <v>5.1900000000000002E-2</v>
      </c>
      <c r="F108" s="35">
        <f>F107*E72</f>
        <v>69.81</v>
      </c>
    </row>
    <row r="109" spans="1:7">
      <c r="A109" s="277" t="s">
        <v>77</v>
      </c>
      <c r="B109" s="278"/>
      <c r="C109" s="278"/>
      <c r="D109" s="278"/>
      <c r="E109" s="39">
        <f>E107+E108</f>
        <v>0.1928</v>
      </c>
      <c r="F109" s="40">
        <f>SUM(F107:F108)</f>
        <v>259.52</v>
      </c>
    </row>
    <row r="111" spans="1:7">
      <c r="A111" s="306" t="s">
        <v>106</v>
      </c>
      <c r="B111" s="306"/>
      <c r="C111" s="306"/>
      <c r="D111" s="306"/>
      <c r="E111" s="306"/>
      <c r="F111" s="306"/>
    </row>
    <row r="112" spans="1:7">
      <c r="A112" s="47"/>
    </row>
    <row r="113" spans="1:8">
      <c r="A113" s="5">
        <v>4</v>
      </c>
      <c r="B113" s="305" t="s">
        <v>107</v>
      </c>
      <c r="C113" s="305"/>
      <c r="D113" s="305"/>
      <c r="E113" s="305"/>
      <c r="F113" s="17" t="s">
        <v>33</v>
      </c>
    </row>
    <row r="114" spans="1:8">
      <c r="A114" s="3" t="s">
        <v>67</v>
      </c>
      <c r="B114" s="304" t="s">
        <v>108</v>
      </c>
      <c r="C114" s="304"/>
      <c r="D114" s="304"/>
      <c r="E114" s="304"/>
      <c r="F114" s="17">
        <f>F72</f>
        <v>495.5</v>
      </c>
    </row>
    <row r="115" spans="1:8">
      <c r="A115" s="3" t="s">
        <v>79</v>
      </c>
      <c r="B115" s="312" t="s">
        <v>109</v>
      </c>
      <c r="C115" s="312"/>
      <c r="D115" s="312"/>
      <c r="E115" s="312"/>
      <c r="F115" s="17">
        <f>F80</f>
        <v>153.43</v>
      </c>
    </row>
    <row r="116" spans="1:8">
      <c r="A116" s="3" t="s">
        <v>83</v>
      </c>
      <c r="B116" s="304" t="s">
        <v>85</v>
      </c>
      <c r="C116" s="304"/>
      <c r="D116" s="304"/>
      <c r="E116" s="304"/>
      <c r="F116" s="17">
        <f>F85</f>
        <v>0.37</v>
      </c>
    </row>
    <row r="117" spans="1:8">
      <c r="A117" s="3" t="s">
        <v>88</v>
      </c>
      <c r="B117" s="304" t="s">
        <v>111</v>
      </c>
      <c r="C117" s="304"/>
      <c r="D117" s="304"/>
      <c r="E117" s="304"/>
      <c r="F117" s="17">
        <f>F96</f>
        <v>109.11</v>
      </c>
    </row>
    <row r="118" spans="1:8">
      <c r="A118" s="3" t="s">
        <v>97</v>
      </c>
      <c r="B118" s="304" t="s">
        <v>112</v>
      </c>
      <c r="C118" s="304"/>
      <c r="D118" s="304"/>
      <c r="E118" s="304"/>
      <c r="F118" s="17">
        <f>F109</f>
        <v>259.52</v>
      </c>
    </row>
    <row r="119" spans="1:8">
      <c r="A119" s="3" t="s">
        <v>113</v>
      </c>
      <c r="B119" s="304" t="s">
        <v>55</v>
      </c>
      <c r="C119" s="304"/>
      <c r="D119" s="304"/>
      <c r="E119" s="304"/>
      <c r="F119" s="17"/>
    </row>
    <row r="120" spans="1:8">
      <c r="A120" s="305" t="s">
        <v>77</v>
      </c>
      <c r="B120" s="305"/>
      <c r="C120" s="305"/>
      <c r="D120" s="305"/>
      <c r="E120" s="305"/>
      <c r="F120" s="15">
        <f>SUM(F114:F119)</f>
        <v>1017.93</v>
      </c>
    </row>
    <row r="122" spans="1:8">
      <c r="A122" s="306" t="s">
        <v>114</v>
      </c>
      <c r="B122" s="306"/>
      <c r="C122" s="306"/>
      <c r="D122" s="306"/>
      <c r="E122" s="306"/>
      <c r="F122" s="306"/>
      <c r="G122" s="48"/>
    </row>
    <row r="124" spans="1:8">
      <c r="A124" s="5">
        <v>5</v>
      </c>
      <c r="B124" s="305" t="s">
        <v>115</v>
      </c>
      <c r="C124" s="305"/>
      <c r="D124" s="305"/>
      <c r="E124" s="5" t="s">
        <v>32</v>
      </c>
      <c r="F124" s="15" t="s">
        <v>33</v>
      </c>
    </row>
    <row r="125" spans="1:8">
      <c r="A125" s="34" t="s">
        <v>5</v>
      </c>
      <c r="B125" s="307" t="s">
        <v>116</v>
      </c>
      <c r="C125" s="307"/>
      <c r="D125" s="307"/>
      <c r="E125" s="46">
        <v>0.03</v>
      </c>
      <c r="F125" s="35" t="e">
        <f>E125*($G$36+$F$48+$F$57+$F$120)</f>
        <v>#REF!</v>
      </c>
    </row>
    <row r="126" spans="1:8">
      <c r="A126" s="34" t="s">
        <v>7</v>
      </c>
      <c r="B126" s="301" t="s">
        <v>117</v>
      </c>
      <c r="C126" s="302"/>
      <c r="D126" s="302"/>
      <c r="E126" s="49">
        <f>E127+E128+E129</f>
        <v>0.14249999999999999</v>
      </c>
      <c r="F126" s="40" t="e">
        <f>SUM(F127:F129)</f>
        <v>#REF!</v>
      </c>
      <c r="G126" s="50"/>
      <c r="H126" s="50"/>
    </row>
    <row r="127" spans="1:8">
      <c r="A127" s="34" t="s">
        <v>118</v>
      </c>
      <c r="B127" s="295" t="s">
        <v>119</v>
      </c>
      <c r="C127" s="296"/>
      <c r="D127" s="297"/>
      <c r="E127" s="36">
        <v>7.5999999999999998E-2</v>
      </c>
      <c r="F127" s="35" t="e">
        <f>E127*(G36+F48+F57+F120+F125+F131)/(1-E126)</f>
        <v>#REF!</v>
      </c>
      <c r="G127" s="50"/>
    </row>
    <row r="128" spans="1:8">
      <c r="A128" s="34" t="s">
        <v>120</v>
      </c>
      <c r="B128" s="295" t="s">
        <v>121</v>
      </c>
      <c r="C128" s="296"/>
      <c r="D128" s="297"/>
      <c r="E128" s="36">
        <v>1.6500000000000001E-2</v>
      </c>
      <c r="F128" s="35" t="e">
        <f>E128*(G36+F48+F57+F120+F125+F131)/(1-E126)</f>
        <v>#REF!</v>
      </c>
      <c r="G128" s="50"/>
    </row>
    <row r="129" spans="1:8">
      <c r="A129" s="34" t="s">
        <v>122</v>
      </c>
      <c r="B129" s="298" t="s">
        <v>123</v>
      </c>
      <c r="C129" s="299"/>
      <c r="D129" s="300"/>
      <c r="E129" s="36">
        <v>0.05</v>
      </c>
      <c r="F129" s="35" t="e">
        <f>E129*(G36+F48+F57+F120+F125+F131)/(1-E126)</f>
        <v>#REF!</v>
      </c>
      <c r="G129" s="50"/>
    </row>
    <row r="130" spans="1:8">
      <c r="A130" s="34" t="s">
        <v>124</v>
      </c>
      <c r="B130" s="295" t="s">
        <v>125</v>
      </c>
      <c r="C130" s="296"/>
      <c r="D130" s="297"/>
      <c r="E130" s="51"/>
      <c r="F130" s="40"/>
    </row>
    <row r="131" spans="1:8">
      <c r="A131" s="34" t="s">
        <v>10</v>
      </c>
      <c r="B131" s="295" t="s">
        <v>126</v>
      </c>
      <c r="C131" s="296"/>
      <c r="D131" s="297"/>
      <c r="E131" s="46">
        <v>7.0000000000000007E-2</v>
      </c>
      <c r="F131" s="35" t="e">
        <f>E131*($G$36+$F$48+$F$57+$F$120+F125)</f>
        <v>#REF!</v>
      </c>
    </row>
    <row r="132" spans="1:8">
      <c r="A132" s="277" t="s">
        <v>77</v>
      </c>
      <c r="B132" s="278"/>
      <c r="C132" s="278"/>
      <c r="D132" s="278"/>
      <c r="E132" s="279"/>
      <c r="F132" s="40" t="e">
        <f>F125+F126+F131</f>
        <v>#REF!</v>
      </c>
      <c r="G132" s="52"/>
    </row>
    <row r="135" spans="1:8" ht="32.25" customHeight="1">
      <c r="A135" s="301" t="s">
        <v>351</v>
      </c>
      <c r="B135" s="302"/>
      <c r="C135" s="302"/>
      <c r="D135" s="302"/>
      <c r="E135" s="303"/>
      <c r="F135" s="35" t="s">
        <v>33</v>
      </c>
      <c r="G135" s="52"/>
    </row>
    <row r="136" spans="1:8">
      <c r="A136" s="34" t="s">
        <v>5</v>
      </c>
      <c r="B136" s="276" t="s">
        <v>128</v>
      </c>
      <c r="C136" s="276"/>
      <c r="D136" s="276"/>
      <c r="E136" s="276"/>
      <c r="F136" s="35">
        <f>G36</f>
        <v>1346.48</v>
      </c>
    </row>
    <row r="137" spans="1:8">
      <c r="A137" s="34" t="s">
        <v>7</v>
      </c>
      <c r="B137" s="276" t="s">
        <v>129</v>
      </c>
      <c r="C137" s="276"/>
      <c r="D137" s="276"/>
      <c r="E137" s="276"/>
      <c r="F137" s="35">
        <f>F48</f>
        <v>666.86</v>
      </c>
    </row>
    <row r="138" spans="1:8">
      <c r="A138" s="34" t="s">
        <v>10</v>
      </c>
      <c r="B138" s="276" t="s">
        <v>130</v>
      </c>
      <c r="C138" s="276"/>
      <c r="D138" s="276"/>
      <c r="E138" s="276"/>
      <c r="F138" s="35" t="e">
        <f>F57</f>
        <v>#REF!</v>
      </c>
    </row>
    <row r="139" spans="1:8">
      <c r="A139" s="34" t="s">
        <v>13</v>
      </c>
      <c r="B139" s="276" t="s">
        <v>131</v>
      </c>
      <c r="C139" s="276"/>
      <c r="D139" s="276"/>
      <c r="E139" s="276"/>
      <c r="F139" s="35">
        <f>F120</f>
        <v>1017.93</v>
      </c>
      <c r="G139" s="52"/>
    </row>
    <row r="140" spans="1:8" ht="16.5" customHeight="1">
      <c r="A140" s="277" t="s">
        <v>81</v>
      </c>
      <c r="B140" s="278"/>
      <c r="C140" s="278"/>
      <c r="D140" s="278"/>
      <c r="E140" s="279"/>
      <c r="F140" s="40" t="e">
        <f>SUM(F136:F139)</f>
        <v>#REF!</v>
      </c>
      <c r="G140" s="52"/>
    </row>
    <row r="141" spans="1:8">
      <c r="A141" s="34" t="s">
        <v>38</v>
      </c>
      <c r="B141" s="276" t="s">
        <v>132</v>
      </c>
      <c r="C141" s="276"/>
      <c r="D141" s="276"/>
      <c r="E141" s="276"/>
      <c r="F141" s="35" t="e">
        <f>F132</f>
        <v>#REF!</v>
      </c>
      <c r="H141" s="52"/>
    </row>
    <row r="142" spans="1:8">
      <c r="A142" s="280" t="s">
        <v>77</v>
      </c>
      <c r="B142" s="280"/>
      <c r="C142" s="280"/>
      <c r="D142" s="280"/>
      <c r="E142" s="280"/>
      <c r="F142" s="53" t="e">
        <f>SUM(F140:F141)</f>
        <v>#REF!</v>
      </c>
      <c r="G142" s="52" t="e">
        <f>(F140+F131+F125)/(1-E126)</f>
        <v>#REF!</v>
      </c>
      <c r="H142" s="52"/>
    </row>
    <row r="143" spans="1:8">
      <c r="D143" s="281" t="s">
        <v>133</v>
      </c>
      <c r="E143" s="281"/>
      <c r="F143" s="54" t="e">
        <f>F142/G36</f>
        <v>#REF!</v>
      </c>
    </row>
    <row r="145" spans="1:8" ht="25.5" customHeight="1">
      <c r="A145" s="516" t="s">
        <v>134</v>
      </c>
      <c r="B145" s="516"/>
      <c r="C145" s="516"/>
      <c r="D145" s="516"/>
      <c r="E145" s="516"/>
      <c r="F145" s="516"/>
    </row>
    <row r="146" spans="1:8">
      <c r="A146" s="55"/>
      <c r="B146" s="55"/>
      <c r="C146" s="55"/>
      <c r="D146" s="55"/>
      <c r="E146" s="55"/>
      <c r="F146" s="55"/>
    </row>
    <row r="147" spans="1:8">
      <c r="A147" s="56" t="s">
        <v>135</v>
      </c>
      <c r="B147" s="57"/>
      <c r="C147" s="58"/>
      <c r="D147" s="59" t="s">
        <v>136</v>
      </c>
      <c r="E147" s="57"/>
      <c r="F147" s="60"/>
      <c r="G147" s="61"/>
      <c r="H147" s="61"/>
    </row>
    <row r="148" spans="1:8">
      <c r="A148" s="283" t="s">
        <v>137</v>
      </c>
      <c r="B148" s="284"/>
      <c r="C148" s="285"/>
      <c r="D148" s="286">
        <v>8.3299999999999999E-2</v>
      </c>
      <c r="E148" s="287"/>
      <c r="F148" s="288"/>
    </row>
    <row r="149" spans="1:8">
      <c r="A149" s="289" t="s">
        <v>138</v>
      </c>
      <c r="B149" s="290"/>
      <c r="C149" s="291"/>
      <c r="D149" s="292">
        <v>0.121</v>
      </c>
      <c r="E149" s="293"/>
      <c r="F149" s="294"/>
    </row>
    <row r="150" spans="1:8" ht="29.25" customHeight="1">
      <c r="A150" s="256" t="s">
        <v>139</v>
      </c>
      <c r="B150" s="257"/>
      <c r="C150" s="258"/>
      <c r="D150" s="259">
        <v>0.05</v>
      </c>
      <c r="E150" s="260"/>
      <c r="F150" s="261"/>
    </row>
    <row r="151" spans="1:8">
      <c r="A151" s="262" t="s">
        <v>81</v>
      </c>
      <c r="B151" s="263"/>
      <c r="C151" s="264"/>
      <c r="D151" s="265">
        <v>0.25430000000000003</v>
      </c>
      <c r="E151" s="266"/>
      <c r="F151" s="267"/>
    </row>
    <row r="152" spans="1:8" ht="28.5" customHeight="1">
      <c r="A152" s="268" t="s">
        <v>140</v>
      </c>
      <c r="B152" s="269"/>
      <c r="C152" s="270"/>
      <c r="D152" s="62">
        <v>7.39</v>
      </c>
      <c r="E152" s="63">
        <v>7.6</v>
      </c>
      <c r="F152" s="64">
        <v>7.8200000000000006E-2</v>
      </c>
    </row>
    <row r="153" spans="1:8">
      <c r="A153" s="271" t="s">
        <v>141</v>
      </c>
      <c r="B153" s="272"/>
      <c r="C153" s="273"/>
      <c r="D153" s="65">
        <v>32.82</v>
      </c>
      <c r="E153" s="65">
        <v>33.03</v>
      </c>
      <c r="F153" s="66">
        <v>0.33250000000000002</v>
      </c>
    </row>
    <row r="154" spans="1:8" ht="32.25" customHeight="1">
      <c r="A154" s="274" t="s">
        <v>142</v>
      </c>
      <c r="B154" s="274"/>
      <c r="C154" s="274"/>
      <c r="D154" s="274"/>
      <c r="E154" s="274"/>
      <c r="F154" s="274"/>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Carregador de material</vt:lpstr>
      <vt:lpstr>ORIENTAÇÕES</vt:lpstr>
      <vt:lpstr>Planilha Agente de Limpeza</vt:lpstr>
      <vt:lpstr>Planilha Metragem</vt:lpstr>
      <vt:lpstr>Planilha Materiais</vt:lpstr>
      <vt:lpstr>Servente de limpeza</vt:lpstr>
      <vt:lpstr>Jauzeiro</vt:lpstr>
      <vt:lpstr>'Carregador de material'!Area_de_impressao</vt:lpstr>
      <vt:lpstr>ORIENTAÇÕES!Area_de_impressao</vt:lpstr>
      <vt:lpstr>'Planilha Agente de Limpeza'!Area_de_impressao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2021-01-13T13:37:00Z</cp:lastPrinted>
  <dcterms:created xsi:type="dcterms:W3CDTF">2010-12-08T20:31:00Z</dcterms:created>
  <dcterms:modified xsi:type="dcterms:W3CDTF">2021-03-15T15:52:12Z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